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stopwaste.sharepoint.com/sites/2140/Shared Documents/Procurement/Calculator-StopWaste/"/>
    </mc:Choice>
  </mc:AlternateContent>
  <xr:revisionPtr revIDLastSave="0" documentId="8_{DC1C3CB6-C9C8-4D69-9C91-51A4CEBC249A}" xr6:coauthVersionLast="47" xr6:coauthVersionMax="47" xr10:uidLastSave="{00000000-0000-0000-0000-000000000000}"/>
  <bookViews>
    <workbookView xWindow="28680" yWindow="-120" windowWidth="29040" windowHeight="15720" firstSheet="5" activeTab="5" xr2:uid="{00000000-000D-0000-FFFF-FFFF00000000}"/>
  </bookViews>
  <sheets>
    <sheet name="June draft" sheetId="3" state="hidden" r:id="rId1"/>
    <sheet name="Sheet2" sheetId="2" state="hidden" r:id="rId2"/>
    <sheet name="Read me first" sheetId="9" r:id="rId3"/>
    <sheet name="WELO - potential" sheetId="11" state="hidden" r:id="rId4"/>
    <sheet name="Local per capita target" sheetId="14" r:id="rId5"/>
    <sheet name="Calculator" sheetId="6" r:id="rId6"/>
    <sheet name="WELO reports" sheetId="15" r:id="rId7"/>
    <sheet name="Calc Ref Sheet" sheetId="5" r:id="rId8"/>
    <sheet name="Landscape types app rates" sheetId="12" state="hidden" r:id="rId9"/>
    <sheet name="Sheet3" sheetId="13" state="hidden" r:id="rId10"/>
    <sheet name="Sheet1" sheetId="7" state="hidden" r:id="rId11"/>
  </sheets>
  <definedNames>
    <definedName name="City">'Calc Ref Sheet'!$A$3:$A$19</definedName>
    <definedName name="_xlnm.Print_Area" localSheetId="0">'June draft'!$A$1:$AA$19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6" l="1"/>
  <c r="C35" i="6"/>
  <c r="S4" i="5"/>
  <c r="S20" i="5" s="1"/>
  <c r="S5" i="5"/>
  <c r="S6" i="5"/>
  <c r="S7" i="5"/>
  <c r="S8" i="5"/>
  <c r="S9" i="5"/>
  <c r="S10" i="5"/>
  <c r="S11" i="5"/>
  <c r="S12" i="5"/>
  <c r="S13" i="5"/>
  <c r="S14" i="5"/>
  <c r="S15" i="5"/>
  <c r="S16" i="5"/>
  <c r="S17" i="5"/>
  <c r="S18" i="5"/>
  <c r="S19" i="5"/>
  <c r="S3" i="5"/>
  <c r="C32" i="6"/>
  <c r="AQ18" i="5"/>
  <c r="AQ17" i="5"/>
  <c r="AQ16" i="5"/>
  <c r="AQ14" i="5"/>
  <c r="AQ13" i="5"/>
  <c r="AQ12" i="5"/>
  <c r="AQ11" i="5"/>
  <c r="AQ10" i="5"/>
  <c r="AQ9" i="5"/>
  <c r="AQ8" i="5"/>
  <c r="AQ6" i="5"/>
  <c r="AQ4" i="5"/>
  <c r="M9" i="15"/>
  <c r="M12" i="15"/>
  <c r="M3" i="15"/>
  <c r="M4" i="15"/>
  <c r="M5" i="15"/>
  <c r="M6" i="15"/>
  <c r="M7" i="15"/>
  <c r="M8" i="15"/>
  <c r="M10" i="15"/>
  <c r="M11" i="15"/>
  <c r="M13" i="15"/>
  <c r="M2" i="15"/>
  <c r="C33" i="6"/>
  <c r="B16" i="14"/>
  <c r="C26" i="6"/>
  <c r="C27" i="6"/>
  <c r="C28" i="6"/>
  <c r="C29" i="6"/>
  <c r="C30" i="6"/>
  <c r="C31" i="6"/>
  <c r="C25" i="6"/>
  <c r="U19" i="11"/>
  <c r="U18" i="11"/>
  <c r="U17" i="11"/>
  <c r="U16" i="11"/>
  <c r="U15" i="11"/>
  <c r="U14" i="11"/>
  <c r="U13" i="11"/>
  <c r="U12" i="11"/>
  <c r="U11" i="11"/>
  <c r="U10" i="11"/>
  <c r="U9" i="11"/>
  <c r="U8" i="11"/>
  <c r="U7" i="11"/>
  <c r="U6" i="11"/>
  <c r="U5" i="11"/>
  <c r="U4" i="11"/>
  <c r="U3" i="11"/>
  <c r="P19" i="11"/>
  <c r="P18" i="11"/>
  <c r="P17" i="11"/>
  <c r="P16" i="11"/>
  <c r="P15" i="11"/>
  <c r="P14" i="11"/>
  <c r="P13" i="11"/>
  <c r="P12" i="11"/>
  <c r="P11" i="11"/>
  <c r="P10" i="11"/>
  <c r="P9" i="11"/>
  <c r="P8" i="11"/>
  <c r="P7" i="11"/>
  <c r="P6" i="11"/>
  <c r="P5" i="11"/>
  <c r="P4" i="11"/>
  <c r="P3" i="11"/>
  <c r="K19" i="11"/>
  <c r="K18" i="11"/>
  <c r="K17" i="11"/>
  <c r="K16" i="11"/>
  <c r="K15" i="11"/>
  <c r="K14" i="11"/>
  <c r="K13" i="11"/>
  <c r="K12" i="11"/>
  <c r="K11" i="11"/>
  <c r="K10" i="11"/>
  <c r="K9" i="11"/>
  <c r="K8" i="11"/>
  <c r="K7" i="11"/>
  <c r="K6" i="11"/>
  <c r="K5" i="11"/>
  <c r="K4" i="11"/>
  <c r="K3" i="11"/>
  <c r="B87" i="6" l="1"/>
  <c r="B67" i="6"/>
  <c r="B68" i="6" s="1"/>
  <c r="B52" i="6"/>
  <c r="B54" i="6" s="1"/>
  <c r="C53" i="6"/>
  <c r="B76" i="14"/>
  <c r="B75" i="14"/>
  <c r="B71" i="14"/>
  <c r="B67" i="14"/>
  <c r="C62" i="14"/>
  <c r="C61" i="14"/>
  <c r="C60" i="14"/>
  <c r="C59" i="14"/>
  <c r="C58" i="14"/>
  <c r="C57" i="14"/>
  <c r="C56" i="14"/>
  <c r="C55" i="14"/>
  <c r="C54" i="14"/>
  <c r="C53" i="14"/>
  <c r="C52" i="14"/>
  <c r="C51" i="14"/>
  <c r="C50" i="14"/>
  <c r="C49" i="14"/>
  <c r="C48" i="14"/>
  <c r="C47" i="14"/>
  <c r="C46" i="14"/>
  <c r="C45" i="14"/>
  <c r="C44" i="14"/>
  <c r="C43" i="14"/>
  <c r="C42" i="14"/>
  <c r="C41" i="14"/>
  <c r="C40" i="14"/>
  <c r="B39" i="14"/>
  <c r="B63" i="14" s="1"/>
  <c r="C38" i="14"/>
  <c r="C37" i="14"/>
  <c r="C36" i="14"/>
  <c r="C35" i="14"/>
  <c r="C34" i="14"/>
  <c r="C33" i="14"/>
  <c r="C32" i="14"/>
  <c r="C31" i="14"/>
  <c r="C30" i="14"/>
  <c r="C29" i="14"/>
  <c r="C28" i="14"/>
  <c r="C27" i="14"/>
  <c r="C26" i="14"/>
  <c r="I18" i="14"/>
  <c r="B18" i="14"/>
  <c r="B13" i="14"/>
  <c r="B14" i="14" s="1"/>
  <c r="B10" i="14"/>
  <c r="B85" i="6" l="1"/>
  <c r="B70" i="14"/>
  <c r="B72" i="14" s="1"/>
  <c r="B77" i="14" s="1"/>
  <c r="B78" i="14" s="1"/>
  <c r="B79" i="14" s="1"/>
  <c r="B81" i="14" s="1"/>
  <c r="B83" i="14" s="1"/>
  <c r="B19" i="14"/>
  <c r="C63" i="14"/>
  <c r="C39" i="14"/>
  <c r="F2" i="12" l="1"/>
  <c r="L2" i="12"/>
  <c r="F3" i="12"/>
  <c r="L3" i="12"/>
  <c r="F4" i="12"/>
  <c r="L4" i="12"/>
  <c r="F5" i="12"/>
  <c r="L5" i="12"/>
  <c r="F6" i="12"/>
  <c r="L6" i="12"/>
  <c r="F7" i="12"/>
  <c r="L7" i="12"/>
  <c r="R19" i="11"/>
  <c r="S19" i="11" s="1"/>
  <c r="M19" i="11"/>
  <c r="N19" i="11" s="1"/>
  <c r="Q19" i="11" s="1"/>
  <c r="G19" i="11"/>
  <c r="H19" i="11" s="1"/>
  <c r="I19" i="11" s="1"/>
  <c r="R18" i="11"/>
  <c r="S18" i="11" s="1"/>
  <c r="N18" i="11"/>
  <c r="Q18" i="11" s="1"/>
  <c r="M18" i="11"/>
  <c r="G18" i="11"/>
  <c r="H18" i="11" s="1"/>
  <c r="I18" i="11" s="1"/>
  <c r="F17" i="11"/>
  <c r="R17" i="11" s="1"/>
  <c r="S17" i="11" s="1"/>
  <c r="E17" i="11"/>
  <c r="M17" i="11" s="1"/>
  <c r="N17" i="11" s="1"/>
  <c r="D17" i="11"/>
  <c r="G17" i="11" s="1"/>
  <c r="H17" i="11" s="1"/>
  <c r="I17" i="11" s="1"/>
  <c r="M16" i="11"/>
  <c r="N16" i="11" s="1"/>
  <c r="C16" i="11"/>
  <c r="R16" i="11" s="1"/>
  <c r="S16" i="11" s="1"/>
  <c r="R15" i="11"/>
  <c r="S15" i="11" s="1"/>
  <c r="M15" i="11"/>
  <c r="N15" i="11" s="1"/>
  <c r="G15" i="11"/>
  <c r="H15" i="11" s="1"/>
  <c r="I15" i="11" s="1"/>
  <c r="R14" i="11"/>
  <c r="S14" i="11" s="1"/>
  <c r="M14" i="11"/>
  <c r="N14" i="11" s="1"/>
  <c r="H14" i="11"/>
  <c r="I14" i="11" s="1"/>
  <c r="G14" i="11"/>
  <c r="E14" i="11"/>
  <c r="R13" i="11"/>
  <c r="S13" i="11" s="1"/>
  <c r="V13" i="11" s="1"/>
  <c r="M13" i="11"/>
  <c r="N13" i="11" s="1"/>
  <c r="G13" i="11"/>
  <c r="H13" i="11" s="1"/>
  <c r="I13" i="11" s="1"/>
  <c r="R12" i="11"/>
  <c r="S12" i="11" s="1"/>
  <c r="V12" i="11" s="1"/>
  <c r="M12" i="11"/>
  <c r="N12" i="11" s="1"/>
  <c r="G12" i="11"/>
  <c r="H12" i="11" s="1"/>
  <c r="I12" i="11" s="1"/>
  <c r="R11" i="11"/>
  <c r="S11" i="11" s="1"/>
  <c r="V11" i="11" s="1"/>
  <c r="M11" i="11"/>
  <c r="N11" i="11" s="1"/>
  <c r="F11" i="11"/>
  <c r="G11" i="11" s="1"/>
  <c r="H11" i="11" s="1"/>
  <c r="I11" i="11" s="1"/>
  <c r="R10" i="11"/>
  <c r="S10" i="11" s="1"/>
  <c r="M10" i="11"/>
  <c r="N10" i="11" s="1"/>
  <c r="G10" i="11"/>
  <c r="H10" i="11" s="1"/>
  <c r="I10" i="11" s="1"/>
  <c r="R9" i="11"/>
  <c r="S9" i="11" s="1"/>
  <c r="M9" i="11"/>
  <c r="N9" i="11" s="1"/>
  <c r="G9" i="11"/>
  <c r="H9" i="11" s="1"/>
  <c r="I9" i="11" s="1"/>
  <c r="R8" i="11"/>
  <c r="S8" i="11" s="1"/>
  <c r="M8" i="11"/>
  <c r="N8" i="11" s="1"/>
  <c r="G8" i="11"/>
  <c r="H8" i="11" s="1"/>
  <c r="I8" i="11" s="1"/>
  <c r="R7" i="11"/>
  <c r="S7" i="11" s="1"/>
  <c r="M7" i="11"/>
  <c r="N7" i="11" s="1"/>
  <c r="G7" i="11"/>
  <c r="H7" i="11" s="1"/>
  <c r="I7" i="11" s="1"/>
  <c r="R6" i="11"/>
  <c r="S6" i="11" s="1"/>
  <c r="M6" i="11"/>
  <c r="N6" i="11" s="1"/>
  <c r="G6" i="11"/>
  <c r="H6" i="11" s="1"/>
  <c r="I6" i="11" s="1"/>
  <c r="R5" i="11"/>
  <c r="S5" i="11" s="1"/>
  <c r="M5" i="11"/>
  <c r="N5" i="11" s="1"/>
  <c r="G5" i="11"/>
  <c r="H5" i="11" s="1"/>
  <c r="I5" i="11" s="1"/>
  <c r="R4" i="11"/>
  <c r="S4" i="11" s="1"/>
  <c r="M4" i="11"/>
  <c r="N4" i="11" s="1"/>
  <c r="G4" i="11"/>
  <c r="H4" i="11" s="1"/>
  <c r="I4" i="11" s="1"/>
  <c r="R3" i="11"/>
  <c r="S3" i="11" s="1"/>
  <c r="M3" i="11"/>
  <c r="N3" i="11" s="1"/>
  <c r="Q3" i="11" s="1"/>
  <c r="G3" i="11"/>
  <c r="H3" i="11" s="1"/>
  <c r="I3" i="11" s="1"/>
  <c r="B74" i="6"/>
  <c r="B20" i="5"/>
  <c r="B4" i="6" s="1"/>
  <c r="B5" i="6" s="1"/>
  <c r="B11" i="6" s="1"/>
  <c r="B55" i="6" l="1"/>
  <c r="F55" i="6" s="1"/>
  <c r="B69" i="6"/>
  <c r="C68" i="6"/>
  <c r="B12" i="6"/>
  <c r="C12" i="6" s="1"/>
  <c r="B13" i="6"/>
  <c r="B14" i="6"/>
  <c r="B15" i="6"/>
  <c r="C67" i="6"/>
  <c r="V10" i="11"/>
  <c r="T10" i="11"/>
  <c r="G16" i="11"/>
  <c r="H16" i="11" s="1"/>
  <c r="I16" i="11" s="1"/>
  <c r="V19" i="11"/>
  <c r="T19" i="11"/>
  <c r="L17" i="11"/>
  <c r="J17" i="11"/>
  <c r="V4" i="11"/>
  <c r="T4" i="11"/>
  <c r="Q7" i="11"/>
  <c r="O7" i="11"/>
  <c r="J10" i="11"/>
  <c r="L10" i="11"/>
  <c r="J15" i="11"/>
  <c r="L15" i="11"/>
  <c r="Q17" i="11"/>
  <c r="O17" i="11"/>
  <c r="L19" i="11"/>
  <c r="J19" i="11"/>
  <c r="J7" i="11"/>
  <c r="L7" i="11"/>
  <c r="Q13" i="11"/>
  <c r="O13" i="11"/>
  <c r="T7" i="11"/>
  <c r="V7" i="11"/>
  <c r="Q10" i="11"/>
  <c r="O10" i="11"/>
  <c r="Q15" i="11"/>
  <c r="O15" i="11"/>
  <c r="V17" i="11"/>
  <c r="T17" i="11"/>
  <c r="Q4" i="11"/>
  <c r="O4" i="11"/>
  <c r="T9" i="11"/>
  <c r="V9" i="11"/>
  <c r="Q11" i="11"/>
  <c r="O11" i="11"/>
  <c r="L5" i="11"/>
  <c r="J5" i="11"/>
  <c r="J3" i="11"/>
  <c r="L3" i="11"/>
  <c r="Q5" i="11"/>
  <c r="O5" i="11"/>
  <c r="J8" i="11"/>
  <c r="L8" i="11"/>
  <c r="J12" i="11"/>
  <c r="L12" i="11"/>
  <c r="V15" i="11"/>
  <c r="T15" i="11"/>
  <c r="M20" i="11"/>
  <c r="N20" i="11" s="1"/>
  <c r="O20" i="11" s="1"/>
  <c r="T5" i="11"/>
  <c r="V5" i="11"/>
  <c r="Q8" i="11"/>
  <c r="O8" i="11"/>
  <c r="Q12" i="11"/>
  <c r="O12" i="11"/>
  <c r="L18" i="11"/>
  <c r="J18" i="11"/>
  <c r="J6" i="11"/>
  <c r="L6" i="11"/>
  <c r="T8" i="11"/>
  <c r="V8" i="11"/>
  <c r="J14" i="11"/>
  <c r="L14" i="11"/>
  <c r="L16" i="11"/>
  <c r="J16" i="11"/>
  <c r="V3" i="11"/>
  <c r="T3" i="11"/>
  <c r="Q6" i="11"/>
  <c r="O6" i="11"/>
  <c r="J9" i="11"/>
  <c r="L9" i="11"/>
  <c r="Q14" i="11"/>
  <c r="O14" i="11"/>
  <c r="O16" i="11"/>
  <c r="Q16" i="11"/>
  <c r="J4" i="11"/>
  <c r="L4" i="11"/>
  <c r="T6" i="11"/>
  <c r="V6" i="11"/>
  <c r="Q9" i="11"/>
  <c r="O9" i="11"/>
  <c r="J11" i="11"/>
  <c r="L11" i="11"/>
  <c r="J13" i="11"/>
  <c r="L13" i="11"/>
  <c r="V14" i="11"/>
  <c r="T14" i="11"/>
  <c r="V16" i="11"/>
  <c r="T16" i="11"/>
  <c r="T18" i="11"/>
  <c r="V18" i="11"/>
  <c r="T11" i="11"/>
  <c r="T12" i="11"/>
  <c r="T13" i="11"/>
  <c r="O18" i="11"/>
  <c r="O19" i="11"/>
  <c r="O3" i="11"/>
  <c r="R20" i="11"/>
  <c r="Q20" i="11" l="1"/>
  <c r="L20" i="11"/>
  <c r="V20" i="11"/>
  <c r="C43" i="6" l="1"/>
  <c r="C41" i="6"/>
  <c r="C40" i="6"/>
  <c r="V20" i="5" l="1"/>
  <c r="W20" i="5"/>
  <c r="L20" i="5"/>
  <c r="G20" i="5"/>
  <c r="H20" i="5"/>
  <c r="I20" i="5"/>
  <c r="J20" i="5"/>
  <c r="K20" i="5"/>
  <c r="F20" i="5"/>
  <c r="D20" i="5"/>
  <c r="C20" i="5"/>
  <c r="B6" i="7" l="1"/>
  <c r="E6" i="7"/>
  <c r="E4" i="7"/>
  <c r="E3" i="7"/>
  <c r="B88" i="6" l="1"/>
  <c r="B90" i="6" s="1"/>
  <c r="B78" i="6"/>
  <c r="B76" i="6"/>
  <c r="B72" i="6"/>
  <c r="B77" i="6" l="1"/>
  <c r="C76" i="6"/>
  <c r="C84" i="6" l="1"/>
  <c r="C83" i="6"/>
  <c r="C74" i="6" l="1"/>
  <c r="C72" i="6"/>
  <c r="B73" i="6"/>
  <c r="B75" i="6"/>
  <c r="B79" i="6"/>
  <c r="B45" i="6" l="1"/>
  <c r="B46" i="6" s="1"/>
  <c r="C42" i="6" l="1"/>
  <c r="C45" i="6" l="1"/>
  <c r="B80" i="6" l="1"/>
  <c r="C11" i="6"/>
  <c r="B92" i="6"/>
  <c r="B47" i="6"/>
  <c r="AE5" i="5"/>
  <c r="AE6" i="5"/>
  <c r="AE7" i="5"/>
  <c r="AE8" i="5"/>
  <c r="AE9" i="5"/>
  <c r="AE10" i="5"/>
  <c r="AE11" i="5"/>
  <c r="AE12" i="5"/>
  <c r="AE13" i="5"/>
  <c r="AE14" i="5"/>
  <c r="AE15" i="5"/>
  <c r="AE16" i="5"/>
  <c r="AE17" i="5"/>
  <c r="AE18" i="5"/>
  <c r="Y3" i="5"/>
  <c r="AE3" i="5" s="1"/>
  <c r="AE4" i="5"/>
  <c r="U19" i="5"/>
  <c r="U18" i="5"/>
  <c r="U17" i="5"/>
  <c r="U16" i="5"/>
  <c r="U15" i="5"/>
  <c r="U14" i="5"/>
  <c r="U13" i="5"/>
  <c r="U12" i="5"/>
  <c r="U11" i="5"/>
  <c r="U10" i="5"/>
  <c r="U9" i="5"/>
  <c r="U8" i="5"/>
  <c r="U7" i="5"/>
  <c r="U6" i="5"/>
  <c r="U5" i="5"/>
  <c r="U3" i="5"/>
  <c r="AF16" i="5" l="1"/>
  <c r="AG16" i="5" s="1"/>
  <c r="AF11" i="5"/>
  <c r="AL11" i="5" s="1"/>
  <c r="U4" i="5"/>
  <c r="U20" i="5" s="1"/>
  <c r="AF15" i="5"/>
  <c r="AG15" i="5" s="1"/>
  <c r="AF7" i="5"/>
  <c r="AJ7" i="5" s="1"/>
  <c r="AF9" i="5"/>
  <c r="AF13" i="5"/>
  <c r="AF6" i="5"/>
  <c r="AF17" i="5"/>
  <c r="AL17" i="5" s="1"/>
  <c r="AF5" i="5"/>
  <c r="AF3" i="5"/>
  <c r="AG3" i="5" s="1"/>
  <c r="AF14" i="5"/>
  <c r="AG14" i="5" s="1"/>
  <c r="AF10" i="5"/>
  <c r="AF18" i="5"/>
  <c r="AF12" i="5"/>
  <c r="AF8" i="5"/>
  <c r="AI16" i="5" l="1"/>
  <c r="AL16" i="5"/>
  <c r="AK16" i="5"/>
  <c r="AK11" i="5"/>
  <c r="AJ11" i="5"/>
  <c r="AH16" i="5"/>
  <c r="AH11" i="5"/>
  <c r="AJ16" i="5"/>
  <c r="AL15" i="5"/>
  <c r="AG17" i="5"/>
  <c r="AI17" i="5"/>
  <c r="AJ17" i="5"/>
  <c r="AH17" i="5"/>
  <c r="AK15" i="5"/>
  <c r="AJ15" i="5"/>
  <c r="AI15" i="5"/>
  <c r="AH15" i="5"/>
  <c r="AI11" i="5"/>
  <c r="AG11" i="5"/>
  <c r="AJ14" i="5"/>
  <c r="AI7" i="5"/>
  <c r="AG7" i="5"/>
  <c r="AL7" i="5"/>
  <c r="AF4" i="5"/>
  <c r="AJ4" i="5" s="1"/>
  <c r="AH7" i="5"/>
  <c r="AK7" i="5"/>
  <c r="AH14" i="5"/>
  <c r="AK17" i="5"/>
  <c r="AK14" i="5"/>
  <c r="AI18" i="5"/>
  <c r="AJ18" i="5"/>
  <c r="AK18" i="5"/>
  <c r="AH18" i="5"/>
  <c r="AG18" i="5"/>
  <c r="AL18" i="5"/>
  <c r="AK10" i="5"/>
  <c r="AH10" i="5"/>
  <c r="AL10" i="5"/>
  <c r="AG10" i="5"/>
  <c r="AI10" i="5"/>
  <c r="AJ10" i="5"/>
  <c r="AH9" i="5"/>
  <c r="AL9" i="5"/>
  <c r="AG9" i="5"/>
  <c r="AI9" i="5"/>
  <c r="AJ9" i="5"/>
  <c r="AK9" i="5"/>
  <c r="AI14" i="5"/>
  <c r="AI8" i="5"/>
  <c r="AJ8" i="5"/>
  <c r="AK8" i="5"/>
  <c r="AL8" i="5"/>
  <c r="AH8" i="5"/>
  <c r="AG8" i="5"/>
  <c r="AH5" i="5"/>
  <c r="AL5" i="5"/>
  <c r="AG5" i="5"/>
  <c r="AI5" i="5"/>
  <c r="AJ5" i="5"/>
  <c r="AK5" i="5"/>
  <c r="AK6" i="5"/>
  <c r="AH6" i="5"/>
  <c r="AL6" i="5"/>
  <c r="AG6" i="5"/>
  <c r="AI6" i="5"/>
  <c r="AJ6" i="5"/>
  <c r="AL14" i="5"/>
  <c r="AI12" i="5"/>
  <c r="AJ12" i="5"/>
  <c r="AK12" i="5"/>
  <c r="AH12" i="5"/>
  <c r="AG12" i="5"/>
  <c r="AL12" i="5"/>
  <c r="AH13" i="5"/>
  <c r="AL13" i="5"/>
  <c r="AG13" i="5"/>
  <c r="AI13" i="5"/>
  <c r="AJ13" i="5"/>
  <c r="AK13" i="5"/>
  <c r="AI4" i="5" l="1"/>
  <c r="AL4" i="5"/>
  <c r="AG4" i="5"/>
  <c r="AK4" i="5"/>
  <c r="AH4" i="5"/>
  <c r="E20" i="5" l="1"/>
  <c r="B34" i="6"/>
  <c r="C34" i="6"/>
  <c r="C6" i="6" s="1"/>
  <c r="X20" i="5"/>
  <c r="B6" i="6" l="1"/>
  <c r="B17" i="6" s="1"/>
  <c r="B37" i="6"/>
  <c r="B7" i="6" s="1"/>
  <c r="AE19" i="5"/>
  <c r="AF19" i="5" s="1"/>
  <c r="Y20" i="5"/>
  <c r="AE20" i="5" s="1"/>
  <c r="AF20" i="5" s="1"/>
  <c r="AG18" i="3"/>
  <c r="Y18" i="3"/>
  <c r="F18" i="3"/>
  <c r="G18" i="3" s="1"/>
  <c r="D18" i="3"/>
  <c r="AG17" i="3"/>
  <c r="Z17" i="3"/>
  <c r="X17" i="3"/>
  <c r="F17" i="3"/>
  <c r="G17" i="3" s="1"/>
  <c r="D17" i="3"/>
  <c r="AG16" i="3"/>
  <c r="AE16" i="3"/>
  <c r="AC16" i="3"/>
  <c r="Z16" i="3"/>
  <c r="X16" i="3"/>
  <c r="F16" i="3"/>
  <c r="G16" i="3" s="1"/>
  <c r="D16" i="3"/>
  <c r="AG15" i="3"/>
  <c r="Z15" i="3"/>
  <c r="X15" i="3"/>
  <c r="F15" i="3"/>
  <c r="G15" i="3" s="1"/>
  <c r="D15" i="3"/>
  <c r="AG14" i="3"/>
  <c r="Z14" i="3"/>
  <c r="X14" i="3"/>
  <c r="F14" i="3"/>
  <c r="G14" i="3" s="1"/>
  <c r="D14" i="3"/>
  <c r="AG13" i="3"/>
  <c r="AE13" i="3"/>
  <c r="Z13" i="3"/>
  <c r="X13" i="3"/>
  <c r="F13" i="3"/>
  <c r="D13" i="3"/>
  <c r="G13" i="3" s="1"/>
  <c r="Q13" i="3" s="1"/>
  <c r="AG12" i="3"/>
  <c r="Z12" i="3"/>
  <c r="X12" i="3"/>
  <c r="F12" i="3"/>
  <c r="G12" i="3" s="1"/>
  <c r="Q12" i="3" s="1"/>
  <c r="D12" i="3"/>
  <c r="AG11" i="3"/>
  <c r="Z11" i="3"/>
  <c r="X11" i="3"/>
  <c r="F11" i="3"/>
  <c r="G11" i="3" s="1"/>
  <c r="Q11" i="3" s="1"/>
  <c r="D11" i="3"/>
  <c r="AG10" i="3"/>
  <c r="Z10" i="3"/>
  <c r="X10" i="3"/>
  <c r="F10" i="3"/>
  <c r="G10" i="3" s="1"/>
  <c r="Q10" i="3" s="1"/>
  <c r="D10" i="3"/>
  <c r="AG9" i="3"/>
  <c r="Z9" i="3"/>
  <c r="X9" i="3"/>
  <c r="F9" i="3"/>
  <c r="G9" i="3" s="1"/>
  <c r="Q9" i="3" s="1"/>
  <c r="D9" i="3"/>
  <c r="AG8" i="3"/>
  <c r="Z8" i="3"/>
  <c r="X8" i="3"/>
  <c r="F8" i="3"/>
  <c r="G8" i="3" s="1"/>
  <c r="Q8" i="3" s="1"/>
  <c r="D8" i="3"/>
  <c r="AG7" i="3"/>
  <c r="Z7" i="3"/>
  <c r="X7" i="3"/>
  <c r="F7" i="3"/>
  <c r="G7" i="3" s="1"/>
  <c r="Q7" i="3" s="1"/>
  <c r="D7" i="3"/>
  <c r="AG6" i="3"/>
  <c r="Z6" i="3"/>
  <c r="X6" i="3"/>
  <c r="F6" i="3"/>
  <c r="G6" i="3" s="1"/>
  <c r="Q6" i="3" s="1"/>
  <c r="D6" i="3"/>
  <c r="AG5" i="3"/>
  <c r="Z5" i="3"/>
  <c r="X5" i="3"/>
  <c r="F5" i="3"/>
  <c r="G5" i="3" s="1"/>
  <c r="Q5" i="3" s="1"/>
  <c r="D5" i="3"/>
  <c r="AG4" i="3"/>
  <c r="Z4" i="3"/>
  <c r="X4" i="3"/>
  <c r="F4" i="3"/>
  <c r="G4" i="3" s="1"/>
  <c r="Q4" i="3" s="1"/>
  <c r="D4" i="3"/>
  <c r="Z3" i="3"/>
  <c r="X3" i="3"/>
  <c r="D3" i="3"/>
  <c r="B3" i="3"/>
  <c r="AG3" i="3" s="1"/>
  <c r="AG2" i="3"/>
  <c r="Z2" i="3"/>
  <c r="X2" i="3"/>
  <c r="F2" i="3"/>
  <c r="D2" i="3"/>
  <c r="B8" i="6" l="1"/>
  <c r="C54" i="6" s="1"/>
  <c r="B16" i="6"/>
  <c r="B22" i="6"/>
  <c r="H18" i="3"/>
  <c r="Q18" i="3"/>
  <c r="I18" i="3"/>
  <c r="J18" i="3" s="1"/>
  <c r="H14" i="3"/>
  <c r="I14" i="3" s="1"/>
  <c r="J14" i="3" s="1"/>
  <c r="Q14" i="3"/>
  <c r="H15" i="3"/>
  <c r="I15" i="3" s="1"/>
  <c r="J15" i="3" s="1"/>
  <c r="Q15" i="3"/>
  <c r="H17" i="3"/>
  <c r="I17" i="3" s="1"/>
  <c r="J17" i="3" s="1"/>
  <c r="Q17" i="3"/>
  <c r="H16" i="3"/>
  <c r="I16" i="3" s="1"/>
  <c r="J16" i="3" s="1"/>
  <c r="Q16" i="3"/>
  <c r="D19" i="3"/>
  <c r="G2" i="3"/>
  <c r="H2" i="3" s="1"/>
  <c r="I2" i="3" s="1"/>
  <c r="J2" i="3" s="1"/>
  <c r="AH20" i="5"/>
  <c r="AK20" i="5"/>
  <c r="AI20" i="5"/>
  <c r="AL20" i="5"/>
  <c r="D3" i="6" s="1"/>
  <c r="AG20" i="5"/>
  <c r="AJ20" i="5"/>
  <c r="AL19" i="5"/>
  <c r="AJ19" i="5"/>
  <c r="AH19" i="5"/>
  <c r="AG19" i="5"/>
  <c r="AI19" i="5"/>
  <c r="AK19" i="5"/>
  <c r="S4" i="3"/>
  <c r="U4" i="3" s="1"/>
  <c r="H4" i="3"/>
  <c r="I4" i="3" s="1"/>
  <c r="J4" i="3" s="1"/>
  <c r="P8" i="3"/>
  <c r="H8" i="3"/>
  <c r="I8" i="3" s="1"/>
  <c r="J8" i="3" s="1"/>
  <c r="S5" i="3"/>
  <c r="U5" i="3" s="1"/>
  <c r="H5" i="3"/>
  <c r="I5" i="3" s="1"/>
  <c r="J5" i="3" s="1"/>
  <c r="S9" i="3"/>
  <c r="U9" i="3" s="1"/>
  <c r="H9" i="3"/>
  <c r="I9" i="3" s="1"/>
  <c r="J9" i="3" s="1"/>
  <c r="S13" i="3"/>
  <c r="U13" i="3" s="1"/>
  <c r="H13" i="3"/>
  <c r="I13" i="3" s="1"/>
  <c r="J13" i="3" s="1"/>
  <c r="H12" i="3"/>
  <c r="I12" i="3" s="1"/>
  <c r="J12" i="3" s="1"/>
  <c r="S6" i="3"/>
  <c r="U6" i="3" s="1"/>
  <c r="H6" i="3"/>
  <c r="I6" i="3" s="1"/>
  <c r="J6" i="3" s="1"/>
  <c r="S10" i="3"/>
  <c r="U10" i="3" s="1"/>
  <c r="H10" i="3"/>
  <c r="I10" i="3" s="1"/>
  <c r="J10" i="3" s="1"/>
  <c r="H7" i="3"/>
  <c r="I7" i="3" s="1"/>
  <c r="J7" i="3" s="1"/>
  <c r="S11" i="3"/>
  <c r="U11" i="3" s="1"/>
  <c r="H11" i="3"/>
  <c r="I11" i="3" s="1"/>
  <c r="J11" i="3" s="1"/>
  <c r="F3" i="3"/>
  <c r="G3" i="3" s="1"/>
  <c r="P3" i="3" s="1"/>
  <c r="S16" i="3"/>
  <c r="U16" i="3" s="1"/>
  <c r="R16" i="3"/>
  <c r="T16" i="3" s="1"/>
  <c r="P16" i="3"/>
  <c r="P18" i="3"/>
  <c r="R18" i="3"/>
  <c r="T18" i="3" s="1"/>
  <c r="S18" i="3"/>
  <c r="U18" i="3" s="1"/>
  <c r="S15" i="3"/>
  <c r="U15" i="3" s="1"/>
  <c r="R15" i="3"/>
  <c r="T15" i="3" s="1"/>
  <c r="P15" i="3"/>
  <c r="P17" i="3"/>
  <c r="R17" i="3"/>
  <c r="T17" i="3" s="1"/>
  <c r="S17" i="3"/>
  <c r="U17" i="3" s="1"/>
  <c r="G19" i="3"/>
  <c r="S14" i="3"/>
  <c r="U14" i="3" s="1"/>
  <c r="R14" i="3"/>
  <c r="T14" i="3" s="1"/>
  <c r="P14" i="3"/>
  <c r="P7" i="3"/>
  <c r="P9" i="3"/>
  <c r="P10" i="3"/>
  <c r="P11" i="3"/>
  <c r="P12" i="3"/>
  <c r="P13" i="3"/>
  <c r="P4" i="3"/>
  <c r="P5" i="3"/>
  <c r="R4" i="3"/>
  <c r="T4" i="3" s="1"/>
  <c r="R5" i="3"/>
  <c r="T5" i="3" s="1"/>
  <c r="R6" i="3"/>
  <c r="T6" i="3" s="1"/>
  <c r="R7" i="3"/>
  <c r="T7" i="3" s="1"/>
  <c r="R8" i="3"/>
  <c r="T8" i="3" s="1"/>
  <c r="R9" i="3"/>
  <c r="T9" i="3" s="1"/>
  <c r="R10" i="3"/>
  <c r="T10" i="3" s="1"/>
  <c r="R11" i="3"/>
  <c r="T11" i="3" s="1"/>
  <c r="R12" i="3"/>
  <c r="T12" i="3" s="1"/>
  <c r="R13" i="3"/>
  <c r="T13" i="3" s="1"/>
  <c r="P6" i="3"/>
  <c r="S7" i="3"/>
  <c r="U7" i="3" s="1"/>
  <c r="S8" i="3"/>
  <c r="U8" i="3" s="1"/>
  <c r="S12" i="3"/>
  <c r="U12" i="3" s="1"/>
  <c r="K17" i="3" l="1"/>
  <c r="M17" i="3" s="1"/>
  <c r="L17" i="3"/>
  <c r="N17" i="3" s="1"/>
  <c r="P2" i="3"/>
  <c r="K8" i="3"/>
  <c r="M8" i="3" s="1"/>
  <c r="L8" i="3"/>
  <c r="N8" i="3" s="1"/>
  <c r="F19" i="3"/>
  <c r="K11" i="3"/>
  <c r="M11" i="3" s="1"/>
  <c r="L11" i="3"/>
  <c r="N11" i="3" s="1"/>
  <c r="K4" i="3"/>
  <c r="M4" i="3" s="1"/>
  <c r="L4" i="3"/>
  <c r="N4" i="3" s="1"/>
  <c r="L2" i="3"/>
  <c r="K2" i="3"/>
  <c r="R3" i="3"/>
  <c r="T3" i="3" s="1"/>
  <c r="Q3" i="3"/>
  <c r="L14" i="3"/>
  <c r="N14" i="3" s="1"/>
  <c r="K14" i="3"/>
  <c r="M14" i="3" s="1"/>
  <c r="P19" i="3"/>
  <c r="K15" i="3"/>
  <c r="M15" i="3" s="1"/>
  <c r="L15" i="3"/>
  <c r="N15" i="3" s="1"/>
  <c r="K7" i="3"/>
  <c r="M7" i="3" s="1"/>
  <c r="L7" i="3"/>
  <c r="N7" i="3" s="1"/>
  <c r="K9" i="3"/>
  <c r="M9" i="3" s="1"/>
  <c r="L9" i="3"/>
  <c r="N9" i="3" s="1"/>
  <c r="L18" i="3"/>
  <c r="N18" i="3" s="1"/>
  <c r="K18" i="3"/>
  <c r="M18" i="3" s="1"/>
  <c r="K12" i="3"/>
  <c r="M12" i="3" s="1"/>
  <c r="L12" i="3"/>
  <c r="N12" i="3" s="1"/>
  <c r="Q2" i="3"/>
  <c r="U19" i="3"/>
  <c r="L10" i="3"/>
  <c r="N10" i="3" s="1"/>
  <c r="K10" i="3"/>
  <c r="M10" i="3" s="1"/>
  <c r="L16" i="3"/>
  <c r="N16" i="3" s="1"/>
  <c r="K16" i="3"/>
  <c r="M16" i="3" s="1"/>
  <c r="L6" i="3"/>
  <c r="N6" i="3" s="1"/>
  <c r="K6" i="3"/>
  <c r="M6" i="3" s="1"/>
  <c r="S2" i="3"/>
  <c r="U2" i="3" s="1"/>
  <c r="R2" i="3"/>
  <c r="T2" i="3" s="1"/>
  <c r="T19" i="3" s="1"/>
  <c r="T20" i="3" s="1"/>
  <c r="K5" i="3"/>
  <c r="M5" i="3" s="1"/>
  <c r="L5" i="3"/>
  <c r="N5" i="3" s="1"/>
  <c r="K13" i="3"/>
  <c r="M13" i="3" s="1"/>
  <c r="L13" i="3"/>
  <c r="N13" i="3" s="1"/>
  <c r="S3" i="3"/>
  <c r="U3" i="3" s="1"/>
  <c r="H3" i="3"/>
  <c r="I3" i="3" s="1"/>
  <c r="J3" i="3" s="1"/>
  <c r="Q19" i="3" l="1"/>
  <c r="M2" i="3"/>
  <c r="N2" i="3"/>
  <c r="K3" i="3"/>
  <c r="M3" i="3" s="1"/>
  <c r="L3" i="3"/>
  <c r="N3" i="3" s="1"/>
  <c r="G20" i="3"/>
  <c r="G21" i="3" s="1"/>
  <c r="B89" i="6"/>
  <c r="B91" i="6" s="1"/>
  <c r="C88" i="6" l="1"/>
  <c r="C22" i="6" l="1"/>
  <c r="B23" i="6"/>
  <c r="C23" i="6" s="1"/>
  <c r="B10" i="6" l="1"/>
  <c r="F69" i="6" s="1"/>
  <c r="B9" i="6"/>
  <c r="C16" i="6"/>
  <c r="C17" i="6"/>
  <c r="C20" i="6" l="1"/>
  <c r="C47" i="6"/>
  <c r="F47" i="6"/>
  <c r="C37" i="6"/>
  <c r="F37" i="6"/>
</calcChain>
</file>

<file path=xl/sharedStrings.xml><?xml version="1.0" encoding="utf-8"?>
<sst xmlns="http://schemas.openxmlformats.org/spreadsheetml/2006/main" count="741" uniqueCount="460">
  <si>
    <t>City</t>
  </si>
  <si>
    <t>Alameda</t>
  </si>
  <si>
    <t>Alameda County</t>
  </si>
  <si>
    <t>Albany</t>
  </si>
  <si>
    <t>Berkeley</t>
  </si>
  <si>
    <t>Castro Valley</t>
  </si>
  <si>
    <t>Emeryville</t>
  </si>
  <si>
    <t>Dublin</t>
  </si>
  <si>
    <t>Pleasanton</t>
  </si>
  <si>
    <t>Livermore</t>
  </si>
  <si>
    <t>Hayward</t>
  </si>
  <si>
    <t>Union City</t>
  </si>
  <si>
    <t>Newark</t>
  </si>
  <si>
    <t>Fremont</t>
  </si>
  <si>
    <t>Oakland</t>
  </si>
  <si>
    <t>San Leandro</t>
  </si>
  <si>
    <t>Oro Loma</t>
  </si>
  <si>
    <t>Piedmont</t>
  </si>
  <si>
    <t>materials cost</t>
  </si>
  <si>
    <t>with install, delivery
($100/CY)</t>
  </si>
  <si>
    <t xml:space="preserve">procurement target tons compost </t>
  </si>
  <si>
    <t>CY compost
(1 CY=800 lb)</t>
  </si>
  <si>
    <t>area (SF) covered (new)</t>
  </si>
  <si>
    <t>area (sf) covered (top-dressing)</t>
  </si>
  <si>
    <t>acres of publicly maintained landscape</t>
  </si>
  <si>
    <t># applications per year</t>
  </si>
  <si>
    <t>Yes 80 truck fleet</t>
  </si>
  <si>
    <t>current compost use (CY)</t>
  </si>
  <si>
    <t>giveback amount (CY)</t>
  </si>
  <si>
    <t>current cost/CY</t>
  </si>
  <si>
    <t>Diesel gallon equivalents (DGE)</t>
  </si>
  <si>
    <t>Procurement Target (DGE)</t>
  </si>
  <si>
    <t>(current) transportation fuel and renewable transportation fuel use</t>
  </si>
  <si>
    <t>? electric</t>
  </si>
  <si>
    <t>compost
conversion factor</t>
  </si>
  <si>
    <t>Procurement target (tons organics)</t>
  </si>
  <si>
    <t>area (ac) covered (1/2" top-dressing)</t>
  </si>
  <si>
    <t>area (ac) covered (new' 4CY/1000sf)</t>
  </si>
  <si>
    <t>RTF possible</t>
  </si>
  <si>
    <t>currently tracking</t>
  </si>
  <si>
    <t>meeting req?</t>
  </si>
  <si>
    <t>Yes, for janitorial and office paper</t>
  </si>
  <si>
    <t>office paper; janitorial supplies</t>
  </si>
  <si>
    <t>hard to get data for file folders and other supplies; relies on vendor reporting and wide variety of materials</t>
  </si>
  <si>
    <t>price/CY</t>
  </si>
  <si>
    <t>Procurement target tons per capita</t>
  </si>
  <si>
    <t>WELO-permitted landscape area 2017</t>
  </si>
  <si>
    <t>WELO-permitted landscape area 2016</t>
  </si>
  <si>
    <t>WELO-required compost 2017</t>
  </si>
  <si>
    <t>WELO-required compost 2016</t>
  </si>
  <si>
    <t>acres currently covered in 1/2 inch</t>
  </si>
  <si>
    <t>Population*</t>
  </si>
  <si>
    <t>*CA Dept of Finance 2017</t>
  </si>
  <si>
    <t>daily target (CY)</t>
  </si>
  <si>
    <t>example partial compliance year (# days in compliance</t>
  </si>
  <si>
    <t>example partial compliance year (# days OUT of  compliance</t>
  </si>
  <si>
    <t>example penalty minimum ($500/day)</t>
  </si>
  <si>
    <t>example penalty maximum ($10,000/day)</t>
  </si>
  <si>
    <t>Max penalty cost minus total cost</t>
  </si>
  <si>
    <t>Min penalty cost minus total cost</t>
  </si>
  <si>
    <t xml:space="preserve">Total compost produced in extended Bay Area:  </t>
  </si>
  <si>
    <t>compost procured (tons)</t>
  </si>
  <si>
    <t>compost procured (CY)</t>
  </si>
  <si>
    <t>organics remaining (tons)</t>
  </si>
  <si>
    <t>RNG fuel (21 DGE/ton)</t>
  </si>
  <si>
    <t>RNG heating (242 kWh/ton)</t>
  </si>
  <si>
    <t>RNG electricity (22 therms/ton)</t>
  </si>
  <si>
    <t>biomass electricity  (650 kWh/ton)</t>
  </si>
  <si>
    <t>organics procured (tons)</t>
  </si>
  <si>
    <t>compost needed (0.58 ton/ton)</t>
  </si>
  <si>
    <t>mulch needed (1 ton/ton)</t>
  </si>
  <si>
    <t>mulch
conversion factor</t>
  </si>
  <si>
    <t>compost
conversion factor (tons)</t>
  </si>
  <si>
    <t>compost giveaway (CY)</t>
  </si>
  <si>
    <t>compost carbon farming (CY)</t>
  </si>
  <si>
    <t>potential area top-dressing (ac)</t>
  </si>
  <si>
    <t>Population</t>
  </si>
  <si>
    <t>Organics target (tons)</t>
  </si>
  <si>
    <t xml:space="preserve">Other:  </t>
  </si>
  <si>
    <t>Cost</t>
  </si>
  <si>
    <t>Notes</t>
  </si>
  <si>
    <t>Total Compost Use (CY)</t>
  </si>
  <si>
    <t>Days out of compliance/Penalty low</t>
  </si>
  <si>
    <t>Days out of compliance/Penalty high</t>
  </si>
  <si>
    <t>Eligible products</t>
  </si>
  <si>
    <t>Organics procured (tons)</t>
  </si>
  <si>
    <t>Organics needed (tons)</t>
  </si>
  <si>
    <t>Mulch for City Use (CY)</t>
  </si>
  <si>
    <t>Mulch Giveaway (CY)</t>
  </si>
  <si>
    <t>Direct Service Providers (CY)</t>
  </si>
  <si>
    <t>Total Mulch Use (CY)</t>
  </si>
  <si>
    <t>RNG is gas derived from organic waste that has been diverted from a landfill and processed at an in-vessel digestion facility that is permitted or otherwise authorized by Title 14 to recover organic waste.  RNG from a POTW must receive materials from compostable materials handling facility, transfer station or landfill.</t>
  </si>
  <si>
    <t>Organics tons from compost</t>
  </si>
  <si>
    <t>Organics tons from mulch</t>
  </si>
  <si>
    <t>21 DGE/1 ton organics</t>
  </si>
  <si>
    <t>242 kWh/1 ton organics</t>
  </si>
  <si>
    <t>22 therms / 1 ton organics</t>
  </si>
  <si>
    <t>Compost</t>
  </si>
  <si>
    <t>Renewable Gas</t>
  </si>
  <si>
    <t>School district, e.g.</t>
  </si>
  <si>
    <t>RNG as Transportation Fuel (DGE):</t>
  </si>
  <si>
    <t>RNG Heating (therms):</t>
  </si>
  <si>
    <t>1x 3-inch application</t>
  </si>
  <si>
    <t>Area of application (ac)</t>
  </si>
  <si>
    <t>mulch giveaway(CY)</t>
  </si>
  <si>
    <t>mulch direct service provider(CY)</t>
  </si>
  <si>
    <t>mulch other(CY)</t>
  </si>
  <si>
    <t>compost other (CY)</t>
  </si>
  <si>
    <t>If met with only compost</t>
  </si>
  <si>
    <t>If met with only mulch</t>
  </si>
  <si>
    <t>see individual products</t>
  </si>
  <si>
    <t>$0.10/kWh (marginal cost)</t>
  </si>
  <si>
    <t>Select Jurisdiction</t>
  </si>
  <si>
    <t>From a compostable materials handling facility; city must have standard in place to comply with contamination limits.</t>
  </si>
  <si>
    <t>total electricity procured all sectors (kWh/year)</t>
  </si>
  <si>
    <t>Total use by city (kWh)</t>
  </si>
  <si>
    <t>Total use other sectors (kWh)</t>
  </si>
  <si>
    <t>total electricity procured city use (kWh/year)</t>
  </si>
  <si>
    <t>% of electricity from biomass</t>
  </si>
  <si>
    <t>Total electricity use (kWh)</t>
  </si>
  <si>
    <t>Assume $2.50/DGE; Need cost and use info from member agencies</t>
  </si>
  <si>
    <t>Assume 0 used now or in future; would require maintaing/expanding existing infrastructure</t>
  </si>
  <si>
    <t>RNG electricity (242 kWh/ton)</t>
  </si>
  <si>
    <t>RNG transportation fuel (21 DGE/ton)</t>
  </si>
  <si>
    <t>RNG heating (22 therms/ton)</t>
  </si>
  <si>
    <t>mulch city use (1 CY/ton)</t>
  </si>
  <si>
    <t>compost for city use (1.45 CY/ton)</t>
  </si>
  <si>
    <t>RNG electricity from food waste (242 kWh/ton)</t>
  </si>
  <si>
    <t>tons organics</t>
  </si>
  <si>
    <t>compost</t>
  </si>
  <si>
    <t>mulch</t>
  </si>
  <si>
    <t>RNG</t>
  </si>
  <si>
    <t>biomass</t>
  </si>
  <si>
    <t>unit cost/ton</t>
  </si>
  <si>
    <t>2.5 CY/ton</t>
  </si>
  <si>
    <t>4 CY/ton</t>
  </si>
  <si>
    <t>650kWh/ton</t>
  </si>
  <si>
    <t>all in one</t>
  </si>
  <si>
    <t>Eligible kWh (city use)</t>
  </si>
  <si>
    <t>Eligible kWh (with all sectors)</t>
  </si>
  <si>
    <t>Electricity from Biomass - Bright Choice Cities only</t>
  </si>
  <si>
    <t>Tons organics tons (city use only)</t>
  </si>
  <si>
    <t>Tons organics tons (with all sectors)</t>
  </si>
  <si>
    <t>apply to total organics procured</t>
  </si>
  <si>
    <t>Biomass facility must receive materials from compostable materials handling facility, transfer station or landfill.
Unknown if CalRecycle will accept energy use from all sectors, or just city use.</t>
  </si>
  <si>
    <t>Compost needed (tons):</t>
  </si>
  <si>
    <t>Mulch needed (tons):</t>
  </si>
  <si>
    <t>0.58 tons compost / 1 ton organics (per regulations)</t>
  </si>
  <si>
    <t>1 ton mulch/ 1 ton organics (per regulations</t>
  </si>
  <si>
    <t>Enter $/CY Mulch</t>
  </si>
  <si>
    <t>Enter $/CY Compost</t>
  </si>
  <si>
    <t>not applied to total organics procured; CalRecycle unclear on whether this will be allowed</t>
  </si>
  <si>
    <t>1.45 CY compost / 1 ton organics (per regulations); assumes 1 ton organics = 0.58 ton compost, and bulk density of 800 lb/CY</t>
  </si>
  <si>
    <t>compost use by direct service providers (CY)</t>
  </si>
  <si>
    <t>$500/day; value will appear once city is selected</t>
  </si>
  <si>
    <t>$10,000/day; value will appear once city is selected</t>
  </si>
  <si>
    <t>Total Additional Cost:</t>
  </si>
  <si>
    <t>Instructions:</t>
  </si>
  <si>
    <r>
      <t xml:space="preserve">1. Before you start, </t>
    </r>
    <r>
      <rPr>
        <b/>
        <sz val="24"/>
        <color theme="1"/>
        <rFont val="Calibri"/>
        <family val="2"/>
        <scheme val="minor"/>
      </rPr>
      <t>save a copy for yourself</t>
    </r>
    <r>
      <rPr>
        <sz val="24"/>
        <color theme="1"/>
        <rFont val="Calibri"/>
        <family val="2"/>
        <scheme val="minor"/>
      </rPr>
      <t>. The cells aren't locked, so it could get broken.</t>
    </r>
  </si>
  <si>
    <r>
      <t xml:space="preserve">2. On "Calculator", </t>
    </r>
    <r>
      <rPr>
        <b/>
        <sz val="24"/>
        <color theme="1"/>
        <rFont val="Calibri"/>
        <family val="2"/>
        <scheme val="minor"/>
      </rPr>
      <t>select your jurisdiction</t>
    </r>
    <r>
      <rPr>
        <sz val="24"/>
        <color theme="1"/>
        <rFont val="Calibri"/>
        <family val="2"/>
        <scheme val="minor"/>
      </rPr>
      <t xml:space="preserve"> from the drop down menu (B3).</t>
    </r>
  </si>
  <si>
    <t xml:space="preserve">*(If you enter this info directly on the Calculator tab, it probably won't break it (it might), but you won't be able to use it to look at other member agencies' procurement targets.) </t>
  </si>
  <si>
    <r>
      <t xml:space="preserve">4. To see how much compost and mulch you will need to achieve your procurement target, </t>
    </r>
    <r>
      <rPr>
        <b/>
        <sz val="24"/>
        <color theme="1"/>
        <rFont val="Calibri"/>
        <family val="2"/>
        <scheme val="minor"/>
      </rPr>
      <t>use the slider</t>
    </r>
    <r>
      <rPr>
        <sz val="24"/>
        <color theme="1"/>
        <rFont val="Calibri"/>
        <family val="2"/>
        <scheme val="minor"/>
      </rPr>
      <t xml:space="preserve"> to adjust the percent of compost and mulch you need. </t>
    </r>
  </si>
  <si>
    <t>Average</t>
  </si>
  <si>
    <t>compost used at 4CY/1000 sf</t>
  </si>
  <si>
    <t>additional 2 CY/1000 sf</t>
  </si>
  <si>
    <t>% target</t>
  </si>
  <si>
    <t>tons organics for procurement</t>
  </si>
  <si>
    <t>cost savings to city</t>
  </si>
  <si>
    <t>AVERAGE 2016 - 2020</t>
  </si>
  <si>
    <t>LOW</t>
  </si>
  <si>
    <t>HIGH</t>
  </si>
  <si>
    <t xml:space="preserve">% procurement target met: </t>
  </si>
  <si>
    <t>Percent toward target</t>
  </si>
  <si>
    <t>RNG Electricity total (kWh):</t>
  </si>
  <si>
    <t>RNG Electricity from food waste (kWh)</t>
  </si>
  <si>
    <t>total landscape area (square feet)</t>
  </si>
  <si>
    <t>including delivery and application</t>
  </si>
  <si>
    <t>EBCE Tier (city buildings)</t>
  </si>
  <si>
    <t>Bright Choice</t>
  </si>
  <si>
    <t>Renewable 100</t>
  </si>
  <si>
    <t>Total Alameda County*</t>
  </si>
  <si>
    <t>Total Compost needed (CY)</t>
  </si>
  <si>
    <t>Additional Compost needed (CY):</t>
  </si>
  <si>
    <t>Additional Mulch needed (CY):</t>
  </si>
  <si>
    <t>Total Mulch needed (CY)</t>
  </si>
  <si>
    <t>If met with all compost</t>
  </si>
  <si>
    <t>Estimate assumes average bulk density of 600 lb/CY; will vary based on material</t>
  </si>
  <si>
    <t>CV San</t>
  </si>
  <si>
    <t>Landscape type</t>
  </si>
  <si>
    <t>area</t>
  </si>
  <si>
    <t>Sports fields</t>
  </si>
  <si>
    <t>Golf course</t>
  </si>
  <si>
    <t>New construction</t>
  </si>
  <si>
    <t>compost application rate</t>
  </si>
  <si>
    <t>mulch application rate</t>
  </si>
  <si>
    <t>times per year</t>
  </si>
  <si>
    <t>Decorative turf</t>
  </si>
  <si>
    <t>Annuals</t>
  </si>
  <si>
    <t>Open space</t>
  </si>
  <si>
    <t>Shrubs</t>
  </si>
  <si>
    <t>Trees</t>
  </si>
  <si>
    <t>square feet</t>
  </si>
  <si>
    <t>acres</t>
  </si>
  <si>
    <t>square feet or acres</t>
  </si>
  <si>
    <t>Other (enter value)</t>
  </si>
  <si>
    <t>Other (enter type)</t>
  </si>
  <si>
    <t>Other (enter amount)</t>
  </si>
  <si>
    <t>compost application rate (inches)</t>
  </si>
  <si>
    <t>compost used CY</t>
  </si>
  <si>
    <t>reapplied every x years</t>
  </si>
  <si>
    <t>mulch used CY</t>
  </si>
  <si>
    <t>compost notes</t>
  </si>
  <si>
    <t>Mulch Notes</t>
  </si>
  <si>
    <t>Other (enter rate)</t>
  </si>
  <si>
    <t>one-time;</t>
  </si>
  <si>
    <t>add column for one-time use?</t>
  </si>
  <si>
    <t>Date</t>
  </si>
  <si>
    <t>Product</t>
  </si>
  <si>
    <t>Quantity</t>
  </si>
  <si>
    <t>Unit</t>
  </si>
  <si>
    <t>Direct Procurement or Procurement through a Direct Service Provider?</t>
  </si>
  <si>
    <t>Direct Service Provider Name, if Applicable</t>
  </si>
  <si>
    <t>Product Supplier Name</t>
  </si>
  <si>
    <t>Product Supplier Location</t>
  </si>
  <si>
    <t>Product Supplier Contact Information</t>
  </si>
  <si>
    <t>Details of Product Use</t>
  </si>
  <si>
    <t>Location of Product Application, if Applicable</t>
  </si>
  <si>
    <t>Other Notes</t>
  </si>
  <si>
    <t>SB 1383 Local Per Capita ProcurementTarget Calculator</t>
  </si>
  <si>
    <t>Waste Characterization Study Year</t>
  </si>
  <si>
    <t>Year Waste Characterization Study completed</t>
  </si>
  <si>
    <t>Period Covered:</t>
  </si>
  <si>
    <t>1/1/25-12/31/29</t>
  </si>
  <si>
    <t>Jurisdiction</t>
  </si>
  <si>
    <t xml:space="preserve">Jurisdiction: </t>
  </si>
  <si>
    <t>Alameda County Countywide</t>
  </si>
  <si>
    <t>Other Area:</t>
  </si>
  <si>
    <t>none</t>
  </si>
  <si>
    <t>Total Population in 2024:</t>
  </si>
  <si>
    <t>Table 2: E-5 City/County Population and Housing Estimates, 1/1/2021</t>
  </si>
  <si>
    <t>Population in 2025</t>
  </si>
  <si>
    <t>2025 CA Dept of Finance County Population Projections</t>
  </si>
  <si>
    <t>Change in Population:</t>
  </si>
  <si>
    <t>Calculate Disposal Total</t>
  </si>
  <si>
    <t>Total Disposal in (Tons Per Year (TPY)):</t>
  </si>
  <si>
    <t>RDRS</t>
  </si>
  <si>
    <t xml:space="preserve">Total Population in Disposal Data Year: </t>
  </si>
  <si>
    <t>Total Per Capita Disposal (pounds per person per day (ppd):</t>
  </si>
  <si>
    <t>includes biosolids and organics in ADC/AIC</t>
  </si>
  <si>
    <t>Total Organic Material ADC/AIC Disposal in TPY:</t>
  </si>
  <si>
    <t>Total Biosolids and/or Digestate Disposal in TPY:</t>
  </si>
  <si>
    <t>Calculate Organic Disposal</t>
  </si>
  <si>
    <t>Total Disposal including organics in ADC and biosolids disposed (TPY):</t>
  </si>
  <si>
    <t>Percentage of Organics (%):</t>
  </si>
  <si>
    <t>Waste Characterization Information</t>
  </si>
  <si>
    <t>Same CR/SW category</t>
  </si>
  <si>
    <t>CalRecycle categories</t>
  </si>
  <si>
    <t>StopWaste category</t>
  </si>
  <si>
    <t>Waste Characterization Material</t>
  </si>
  <si>
    <t>User Input Estimate of Percent of Total Disposal</t>
  </si>
  <si>
    <t>Estimated Tons of Total Disposal</t>
  </si>
  <si>
    <t>Primary Facility Activity Type</t>
  </si>
  <si>
    <t>Category Source</t>
  </si>
  <si>
    <t>Uncoated Corrugated Cardboard</t>
  </si>
  <si>
    <t>recycling</t>
  </si>
  <si>
    <t>CalRecycle/StopWaste</t>
  </si>
  <si>
    <t>Paper Grocery Bags</t>
  </si>
  <si>
    <t>Other Paper Bags/Kraft Paper</t>
  </si>
  <si>
    <t>Newspaper/Newspaper Inserts</t>
  </si>
  <si>
    <t>CalRecycle</t>
  </si>
  <si>
    <t>White Office-Type Paper and Mail</t>
  </si>
  <si>
    <t>Magazines and Catalogs</t>
  </si>
  <si>
    <t>Other Recyclable Paper</t>
  </si>
  <si>
    <t>0.00%</t>
  </si>
  <si>
    <t>Recyclable Paper (no food/liquid contam)</t>
  </si>
  <si>
    <t>StopWaste</t>
  </si>
  <si>
    <t>Includes newpaper, office, magazines, other recyclable paper</t>
  </si>
  <si>
    <t>Folding Cartons and Other Paperboard Packaging</t>
  </si>
  <si>
    <t>Other Paper/Fiber - Packaging</t>
  </si>
  <si>
    <t>Aseptic Containers</t>
  </si>
  <si>
    <t>Gable-top Cartons</t>
  </si>
  <si>
    <t>Paper/Fiber Food Service Ware</t>
  </si>
  <si>
    <t>composting</t>
  </si>
  <si>
    <t>Compostable Paper - Packaging and Pizza Boxes</t>
  </si>
  <si>
    <t>Other Compostable Paper</t>
  </si>
  <si>
    <t>Remainder/Composite Paper - Other</t>
  </si>
  <si>
    <t>Food - Potentially Donatable - Vegetative</t>
  </si>
  <si>
    <t xml:space="preserve">Food - Potentially Donatable - Eggs, Dairy, and Dairy Alternatives
</t>
  </si>
  <si>
    <t>Food - Potentially Donatable - Animal Meat</t>
  </si>
  <si>
    <t>Food - Potentially Donatable - Cooked/Baked/Prepared Perishable Items</t>
  </si>
  <si>
    <t>Food - Potentially Donatable - Packaged Non-Perishable</t>
  </si>
  <si>
    <t>Food - Not Donatable - Meat</t>
  </si>
  <si>
    <t>Food - Not Donatable - Non-Meat</t>
  </si>
  <si>
    <t>Food - Edible</t>
  </si>
  <si>
    <t>includes subcategories of produce, meat, prepared, shelf-stable</t>
  </si>
  <si>
    <t>Food - Inedible</t>
  </si>
  <si>
    <t>Leaves and Grass</t>
  </si>
  <si>
    <t>Prunings and Trimmings</t>
  </si>
  <si>
    <t>Branches and Stumps</t>
  </si>
  <si>
    <t>Chips, Prunings, Trimmings, Branches Stumps</t>
  </si>
  <si>
    <t>Manures</t>
  </si>
  <si>
    <t>Clean Engineered Wood</t>
  </si>
  <si>
    <t>landfill</t>
  </si>
  <si>
    <t>non-compostable, included in treated wood waste, not in calculation</t>
  </si>
  <si>
    <t>Clean Pallets and Crates</t>
  </si>
  <si>
    <t>composting/chip and grind</t>
  </si>
  <si>
    <t>Other Recyclable Wood</t>
  </si>
  <si>
    <t>chip and grind</t>
  </si>
  <si>
    <t>included in Untreated Lumber</t>
  </si>
  <si>
    <t>Untreated Lumber</t>
  </si>
  <si>
    <t>Remainder/Composite Organic</t>
  </si>
  <si>
    <t>Carpet</t>
  </si>
  <si>
    <t>Textiles</t>
  </si>
  <si>
    <t>Total Organics Percentage of Disposal</t>
  </si>
  <si>
    <t>Additional organics</t>
  </si>
  <si>
    <t>Total Projected Organic Material ADC/AIC Disposal in TPY:</t>
  </si>
  <si>
    <t>2023 Jurisdiction Disposal and Beneficial Reuse</t>
  </si>
  <si>
    <t>Total Projected Biosolids and/or Digestate Disposal in TPY:</t>
  </si>
  <si>
    <t>BACWA 2024 Biosolids Survey</t>
  </si>
  <si>
    <t>Total Organics Disposal (TPY)</t>
  </si>
  <si>
    <t>User Input Estimate of Total Disposal:</t>
  </si>
  <si>
    <t>User Input Biosolids and ADC</t>
  </si>
  <si>
    <t>Total Organics Disposal (TPY) =</t>
  </si>
  <si>
    <t>Per Capita Procurement Target</t>
  </si>
  <si>
    <t>Estimated population in 2024 =</t>
  </si>
  <si>
    <t>Projected population in 2025 =</t>
  </si>
  <si>
    <t>Total Organics Disposal in (TPY) =</t>
  </si>
  <si>
    <t>Tons per person 2024 =</t>
  </si>
  <si>
    <t>Total Organics Disposal in 2025 (TPY) =</t>
  </si>
  <si>
    <t>tons pp 2024 * 2025 population</t>
  </si>
  <si>
    <t>SB 1383 Diversion goal (75%) =</t>
  </si>
  <si>
    <t>Amount of organics to be diverted to meet SB 1383 goal (tons per year) =</t>
  </si>
  <si>
    <t>0.75 * 2025 organics disposal</t>
  </si>
  <si>
    <t>Jurisdiction share of GDP  =</t>
  </si>
  <si>
    <t>Per Capita Procurement Target =</t>
  </si>
  <si>
    <t>13% * (tons to be diverted to meet goal countywide / county population)</t>
  </si>
  <si>
    <t>Link to Waste Characterization Study:</t>
  </si>
  <si>
    <t>https://www.stopwaste.org/resource/alameda-county-2024-waste-characterization-study</t>
  </si>
  <si>
    <t>LOCAL Procurement target tons per capita</t>
  </si>
  <si>
    <t>STATEWIDE Procurement target tons per capita</t>
  </si>
  <si>
    <t>1 ton mulch/1 ton organics; 421 lb mulch/CY (EPA)</t>
  </si>
  <si>
    <t>1 ton food = 1 ton organics</t>
  </si>
  <si>
    <t>1.45 CY compost = 1 ton organics; 0.58 tons compost = 1 ton organics</t>
  </si>
  <si>
    <t>materials, delivery, and spreading</t>
  </si>
  <si>
    <t>materials, delivery, staff time for planning and event management</t>
  </si>
  <si>
    <t>materials and delivery; staff time for ordering and management</t>
  </si>
  <si>
    <t>Total Edible Food and Local Mulch</t>
  </si>
  <si>
    <t>10% max of target</t>
  </si>
  <si>
    <t>Edible Food Recovered (tons)</t>
  </si>
  <si>
    <t>Investments</t>
  </si>
  <si>
    <t>Blowers</t>
  </si>
  <si>
    <t>Composting Infrastructure</t>
  </si>
  <si>
    <t>Compost Spreaders</t>
  </si>
  <si>
    <t>Drag Rakes</t>
  </si>
  <si>
    <t>Stump Grinders</t>
  </si>
  <si>
    <t>Chippers/Shredders</t>
  </si>
  <si>
    <t>Spreading Equipment</t>
  </si>
  <si>
    <t>Compost Distribution Hubs</t>
  </si>
  <si>
    <t>Total Investments ($)</t>
  </si>
  <si>
    <t>Total Organics (tons)</t>
  </si>
  <si>
    <t>$21.38 = 1 ton organics</t>
  </si>
  <si>
    <t>Maximum amount to count toward procurement</t>
  </si>
  <si>
    <t>Maximum local mulch and food (combined) that can count toward procurement</t>
  </si>
  <si>
    <r>
      <rPr>
        <b/>
        <sz val="24"/>
        <color theme="1"/>
        <rFont val="Calibri"/>
        <family val="2"/>
        <scheme val="minor"/>
      </rPr>
      <t>When you encounter problems</t>
    </r>
    <r>
      <rPr>
        <sz val="24"/>
        <color theme="1"/>
        <rFont val="Calibri"/>
        <family val="2"/>
        <scheme val="minor"/>
      </rPr>
      <t>, email kschoonmaker@stopwaste.org.</t>
    </r>
  </si>
  <si>
    <r>
      <t xml:space="preserve">3. </t>
    </r>
    <r>
      <rPr>
        <b/>
        <sz val="24"/>
        <color theme="1"/>
        <rFont val="Calibri"/>
        <family val="2"/>
        <scheme val="minor"/>
      </rPr>
      <t>Only enter data in yellow cells</t>
    </r>
    <r>
      <rPr>
        <sz val="24"/>
        <color theme="1"/>
        <rFont val="Calibri"/>
        <family val="2"/>
        <scheme val="minor"/>
      </rPr>
      <t xml:space="preserve">.  </t>
    </r>
  </si>
  <si>
    <t>Assume $0.05/kWh; Need cost and use info from member agencies</t>
  </si>
  <si>
    <t>$0.10/kWh (marginal cost) (2021 estimate from EBCE)</t>
  </si>
  <si>
    <t>$0.10/kWh (marginal cost) (2021 data from EBCE)</t>
  </si>
  <si>
    <t>from EBCE power allocation info 2023 (13% total, estimate 25% of that eligible; need to confirm)</t>
  </si>
  <si>
    <t>SB 1383 Recycled Organic Product Procurement Calculator 2025</t>
  </si>
  <si>
    <t>Mulch from Jurisdiction operations (cubic yards)</t>
  </si>
  <si>
    <t>cubic yards</t>
  </si>
  <si>
    <t>*CA Dept of Finance on CalRecycle procurement page</t>
  </si>
  <si>
    <t>Population data</t>
  </si>
  <si>
    <t>Max tons from mulch/food</t>
  </si>
  <si>
    <t>Max investment that can count</t>
  </si>
  <si>
    <t>10% of target * $21.38</t>
  </si>
  <si>
    <t>10% of target</t>
  </si>
  <si>
    <t>Max tons from mulch/food plus investments</t>
  </si>
  <si>
    <t>Assumes average bulk density of 473 lb/CY per EPA April 2016</t>
  </si>
  <si>
    <t>Assumes $20/CY delivered; can edit cost in cell C38</t>
  </si>
  <si>
    <t>Assume $100/CY labor and materials; can edit cost in cell C40</t>
  </si>
  <si>
    <t>Does not include local mulch</t>
  </si>
  <si>
    <t>can be used on jurisdiction landscapes or given away to residents in jurisdiction</t>
  </si>
  <si>
    <t>Mulch from Permitted Facilities</t>
  </si>
  <si>
    <t>Local Mulch from Jurisdiction Operations - See Row 47</t>
  </si>
  <si>
    <t xml:space="preserve">Local Mulch and Recovered Edible Food </t>
  </si>
  <si>
    <t>AGENCY_NAME</t>
  </si>
  <si>
    <t>SINGLE_OR_REGIONAL_ORD</t>
  </si>
  <si>
    <t>REPORTING_PERIOD</t>
  </si>
  <si>
    <t>MWELO_OR_WELO</t>
  </si>
  <si>
    <t>DIFFERENT_THAN_MWELO</t>
  </si>
  <si>
    <t>EFFICIENT_AS_MWELO</t>
  </si>
  <si>
    <t>EXEMPTIONS_IN_WELO</t>
  </si>
  <si>
    <t>AGENCY_RESPONSIBLE</t>
  </si>
  <si>
    <t>OTHER_AGENCY_IMPLEMENTING</t>
  </si>
  <si>
    <t>NUM_PERMITTIED_PROJECTS</t>
  </si>
  <si>
    <t>TOTAL_LANDSCAPE_AREA</t>
  </si>
  <si>
    <t>SQ_FEET_ACRES</t>
  </si>
  <si>
    <t>Single Agency Ordinance</t>
  </si>
  <si>
    <t>1/1/2023-12/31/2023</t>
  </si>
  <si>
    <t>Local Water Efficient Landscape Ordinance (WELO)</t>
  </si>
  <si>
    <t>There are provisions in the local ordinance requiring the screening of utility infrastructure added post approval, and to provide a non-uniform landscape</t>
  </si>
  <si>
    <t>yes</t>
  </si>
  <si>
    <t>No</t>
  </si>
  <si>
    <t>Planning</t>
  </si>
  <si>
    <t>EBMUD conducts plan check review</t>
  </si>
  <si>
    <t>sq. ft.</t>
  </si>
  <si>
    <t>Model Water Efficient Landscape Ordinance (MWELO)</t>
  </si>
  <si>
    <t>N/A</t>
  </si>
  <si>
    <t>Building and Planning</t>
  </si>
  <si>
    <t>The local water utility, East Bay Municipal Utility District (EBMUD), is increasingly becoming involved with WELO implementation. Specifically, they are requiring planting and irrigation plans for new water service (triggered by 500 sf of new landscaping or 2,500 sf of rehabilitated landscaping) to assess compliance with MWELO (https://wsa.ebmud.com/). Assessment is done by Professional Landscape Architect staff. This EBMUD activity provides a welcome support to local efforts.</t>
  </si>
  <si>
    <t>TWELVE (12) projects. Development in Berkeley is predominantly infill or floor area ratio limited by lot size and typically does not meet WELO thresholds of 500 sf new  landscape or 2,500 sf rehabilitated landscaping.</t>
  </si>
  <si>
    <t>The City's Ordinance generally follows the structure and includes the content of the Model Ordinance. Modifications include clarifying definitions and removing technical jargon to improve the ease of use and tailored to address the specific needs of Dublin. This includes modifications to the Recycled Water Section for the use of recycled water consistent with the City's water purveyor. Modifications were made to Storm Water Management Section for consistency with the City's regional permit.</t>
  </si>
  <si>
    <t>no</t>
  </si>
  <si>
    <t>Planning Division</t>
  </si>
  <si>
    <t>n/a</t>
  </si>
  <si>
    <t>It adds Bay-Friendly Landscaping (now Re-Scape); see below</t>
  </si>
  <si>
    <t>No exemptions to state-level requirements</t>
  </si>
  <si>
    <t>Planning and Public Works jointly</t>
  </si>
  <si>
    <t>Not Different</t>
  </si>
  <si>
    <t>NA</t>
  </si>
  <si>
    <t>12 Commercial Project, Multi-Family Residential Project</t>
  </si>
  <si>
    <t>Requires plumb-ready laundry-to-landscape; and minimum 50-gallon rainwater harvesting device for new single-family residential developments with usuable yards.</t>
  </si>
  <si>
    <t>NO</t>
  </si>
  <si>
    <t>PLANNING</t>
  </si>
  <si>
    <t>43 permits including building, grading and planning permit were processed ( 25 building/grading permits and 18 planning permits). Among 25 building/grading permits, 8 are single-family residential, 4 are multifamily, 11 are commercial and 2 permits included landscape retrofit projects. Among 18 planning permits, 14 permits are for a combination of single-family and multifamily housing projects.</t>
  </si>
  <si>
    <t>not different</t>
  </si>
  <si>
    <t>Two exemptions, listed in LMC Section 13.25.020(B)</t>
  </si>
  <si>
    <t>Planning, Building</t>
  </si>
  <si>
    <t>None</t>
  </si>
  <si>
    <t>4 commercial projects and 2 residential projects</t>
  </si>
  <si>
    <t>Public Works - Engineering Division</t>
  </si>
  <si>
    <t>47 Single Family Home Permits for new construction were completed along with tract landscaping improvements.  One major commercial project (Costco) was completed.</t>
  </si>
  <si>
    <t>The Department of Planning and Building, Bureau of Planning and Bureau of Building</t>
  </si>
  <si>
    <t>4 - multi-family projects 2-commercial projects 1- civic rehab</t>
  </si>
  <si>
    <t>Planning, Building, Public Works and Parks and Project Manager</t>
  </si>
  <si>
    <t>(7) Single Family retrofits FINALED,     (2) Single Family new residences FINALED</t>
  </si>
  <si>
    <t>added the 9 bay friendly basics requirements</t>
  </si>
  <si>
    <t>Public Works Department - Landscape Architecture Division</t>
  </si>
  <si>
    <t>Landscape Requirements are similar to the MWELO</t>
  </si>
  <si>
    <t>Planning and Building</t>
  </si>
  <si>
    <t>EBMUD also reviews some projects during the building permit plan check process.</t>
  </si>
  <si>
    <t>3 new commercial landscapes and 1 commercial retrofit.</t>
  </si>
  <si>
    <t>cy compost at 4cy/100 sf</t>
  </si>
  <si>
    <r>
      <rPr>
        <i/>
        <sz val="11"/>
        <color theme="1"/>
        <rFont val="Calibri"/>
        <family val="2"/>
        <scheme val="minor"/>
      </rPr>
      <t>ESTIMATED</t>
    </r>
    <r>
      <rPr>
        <sz val="11"/>
        <color theme="1"/>
        <rFont val="Calibri"/>
        <family val="2"/>
        <scheme val="minor"/>
      </rPr>
      <t xml:space="preserve"> WELO use of compost</t>
    </r>
  </si>
  <si>
    <t>From 2023 reports</t>
  </si>
  <si>
    <t>Compost for City Use (cy)</t>
  </si>
  <si>
    <t>Compost Giveaway Event (cy)</t>
  </si>
  <si>
    <t>Compost Hub (cy)</t>
  </si>
  <si>
    <t>Direct service providers (cy)</t>
  </si>
  <si>
    <t>Community Compost (cy)</t>
  </si>
  <si>
    <t>Vermicompost (cy)</t>
  </si>
  <si>
    <t>Mushroom compost (cy)</t>
  </si>
  <si>
    <t>no report</t>
  </si>
  <si>
    <t>STATEWIDE Procurement target tons organics</t>
  </si>
  <si>
    <t>LOCAL Procurement target (tons organics)</t>
  </si>
  <si>
    <t>1 ton mulch/1 ton organics; 473 lb mulch/CY (EPA)</t>
  </si>
  <si>
    <t>Tons Compost procured (tons)</t>
  </si>
  <si>
    <t>Alameda County pop reduced by 8,508 for rural waiver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</si>
</sst>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
    <numFmt numFmtId="167" formatCode="0.0%"/>
    <numFmt numFmtId="168" formatCode="#\ \'\';#\ \'\';0\ \'\'"/>
    <numFmt numFmtId="169" formatCode="#.##\ \'\';#.##\ \'\';0.00\ \'\'"/>
    <numFmt numFmtId="170" formatCode="#.##\'\';#.##\'\';0.0\'\'"/>
    <numFmt numFmtId="171" formatCode="#&quot;,#&quot;\,0"/>
    <numFmt numFmtId="172" formatCode="#\'\';#\'\';0\'\'"/>
    <numFmt numFmtId="173" formatCode="_(* #,##0.000_);_(* \(#,##0.000\);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24"/>
      <color theme="1"/>
      <name val="Calibri"/>
      <family val="2"/>
      <scheme val="minor"/>
    </font>
    <font>
      <sz val="24"/>
      <color theme="1"/>
      <name val="Calibri"/>
      <family val="2"/>
      <scheme val="minor"/>
    </font>
    <font>
      <sz val="72"/>
      <color theme="1"/>
      <name val="Calibri"/>
      <family val="2"/>
      <scheme val="minor"/>
    </font>
    <font>
      <b/>
      <sz val="11"/>
      <color theme="2" tint="-0.249977111117893"/>
      <name val="Calibri"/>
      <family val="2"/>
      <scheme val="minor"/>
    </font>
    <font>
      <b/>
      <sz val="11"/>
      <color theme="4" tint="-0.249977111117893"/>
      <name val="Calibri"/>
      <family val="2"/>
      <scheme val="minor"/>
    </font>
    <font>
      <sz val="11"/>
      <color theme="4" tint="-0.249977111117893"/>
      <name val="Calibri"/>
      <family val="2"/>
      <scheme val="minor"/>
    </font>
    <font>
      <b/>
      <sz val="12"/>
      <color theme="1"/>
      <name val="Arial"/>
      <family val="2"/>
    </font>
    <font>
      <u/>
      <sz val="11"/>
      <color theme="10"/>
      <name val="Calibri"/>
      <family val="2"/>
      <scheme val="minor"/>
    </font>
    <font>
      <b/>
      <sz val="14"/>
      <color indexed="8"/>
      <name val="Arial"/>
      <family val="2"/>
    </font>
    <font>
      <sz val="12"/>
      <color theme="1"/>
      <name val="Arial"/>
      <family val="2"/>
    </font>
    <font>
      <b/>
      <sz val="12"/>
      <color indexed="8"/>
      <name val="Arial"/>
      <family val="2"/>
    </font>
    <font>
      <sz val="12"/>
      <color indexed="8"/>
      <name val="Arial"/>
      <family val="2"/>
    </font>
    <font>
      <u/>
      <sz val="12"/>
      <color theme="10"/>
      <name val="Arial"/>
      <family val="2"/>
    </font>
    <font>
      <sz val="12"/>
      <name val="Arial"/>
      <family val="2"/>
    </font>
    <font>
      <b/>
      <sz val="12"/>
      <name val="Arial"/>
      <family val="2"/>
    </font>
    <font>
      <sz val="11"/>
      <name val="Calibri"/>
      <family val="2"/>
      <scheme val="minor"/>
    </font>
    <font>
      <i/>
      <sz val="11"/>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cellStyleXfs>
  <cellXfs count="251">
    <xf numFmtId="0" fontId="0" fillId="0" borderId="0" xfId="0"/>
    <xf numFmtId="164" fontId="0" fillId="0" borderId="0" xfId="2" applyNumberFormat="1" applyFont="1"/>
    <xf numFmtId="1" fontId="0" fillId="0" borderId="0" xfId="0" applyNumberFormat="1"/>
    <xf numFmtId="43" fontId="0" fillId="0" borderId="0" xfId="1" applyFont="1"/>
    <xf numFmtId="165" fontId="0" fillId="0" borderId="0" xfId="1" applyNumberFormat="1" applyFont="1"/>
    <xf numFmtId="43" fontId="0" fillId="0" borderId="0" xfId="0" applyNumberFormat="1"/>
    <xf numFmtId="0" fontId="2" fillId="0" borderId="0" xfId="0" applyFont="1"/>
    <xf numFmtId="0" fontId="2" fillId="0" borderId="0" xfId="0" applyFont="1" applyAlignment="1">
      <alignment wrapText="1"/>
    </xf>
    <xf numFmtId="164" fontId="2" fillId="0" borderId="0" xfId="2" applyNumberFormat="1" applyFont="1" applyAlignment="1">
      <alignment wrapText="1"/>
    </xf>
    <xf numFmtId="165" fontId="2" fillId="0" borderId="0" xfId="1" applyNumberFormat="1" applyFont="1" applyAlignment="1">
      <alignment wrapText="1"/>
    </xf>
    <xf numFmtId="0" fontId="2" fillId="2" borderId="0" xfId="0" applyFont="1" applyFill="1" applyAlignment="1">
      <alignment horizontal="center" wrapText="1"/>
    </xf>
    <xf numFmtId="0" fontId="2" fillId="2" borderId="0" xfId="0" applyFont="1" applyFill="1" applyAlignment="1">
      <alignment wrapText="1"/>
    </xf>
    <xf numFmtId="165" fontId="2" fillId="2" borderId="0" xfId="1" applyNumberFormat="1" applyFont="1" applyFill="1" applyAlignment="1">
      <alignment wrapText="1"/>
    </xf>
    <xf numFmtId="165" fontId="0" fillId="0" borderId="0" xfId="0" applyNumberFormat="1"/>
    <xf numFmtId="40" fontId="0" fillId="0" borderId="0" xfId="1" applyNumberFormat="1" applyFont="1"/>
    <xf numFmtId="9" fontId="0" fillId="0" borderId="0" xfId="3" applyFont="1"/>
    <xf numFmtId="0" fontId="0" fillId="0" borderId="0" xfId="0" applyAlignment="1">
      <alignment vertical="center"/>
    </xf>
    <xf numFmtId="44" fontId="0" fillId="0" borderId="0" xfId="2" applyFont="1" applyAlignment="1">
      <alignment vertical="center"/>
    </xf>
    <xf numFmtId="166" fontId="0" fillId="0" borderId="0" xfId="2" applyNumberFormat="1" applyFont="1" applyAlignment="1">
      <alignment vertical="center"/>
    </xf>
    <xf numFmtId="2" fontId="0" fillId="0" borderId="0" xfId="0" applyNumberFormat="1" applyAlignment="1">
      <alignment vertical="center"/>
    </xf>
    <xf numFmtId="165" fontId="0" fillId="0" borderId="1" xfId="1" applyNumberFormat="1" applyFont="1" applyBorder="1" applyAlignment="1">
      <alignment vertical="center"/>
    </xf>
    <xf numFmtId="0" fontId="0" fillId="0" borderId="1" xfId="0" applyBorder="1" applyAlignment="1">
      <alignment vertical="center"/>
    </xf>
    <xf numFmtId="44" fontId="0" fillId="0" borderId="1" xfId="2" applyFont="1" applyBorder="1" applyAlignment="1">
      <alignment vertical="center"/>
    </xf>
    <xf numFmtId="165" fontId="0" fillId="3" borderId="1" xfId="1" applyNumberFormat="1" applyFont="1" applyFill="1" applyBorder="1" applyAlignment="1">
      <alignment vertical="center"/>
    </xf>
    <xf numFmtId="165" fontId="2" fillId="3" borderId="1" xfId="1" applyNumberFormat="1" applyFont="1" applyFill="1" applyBorder="1" applyAlignment="1">
      <alignment vertical="center"/>
    </xf>
    <xf numFmtId="0" fontId="0" fillId="0" borderId="6" xfId="0" applyBorder="1" applyAlignment="1">
      <alignment vertical="center"/>
    </xf>
    <xf numFmtId="44" fontId="0" fillId="0" borderId="4" xfId="2" applyFont="1" applyBorder="1" applyAlignment="1">
      <alignment vertical="center"/>
    </xf>
    <xf numFmtId="0" fontId="0" fillId="0" borderId="4" xfId="0" applyBorder="1" applyAlignment="1">
      <alignment vertical="center"/>
    </xf>
    <xf numFmtId="0" fontId="0" fillId="0" borderId="1" xfId="0" applyBorder="1" applyAlignment="1">
      <alignment horizontal="left" vertical="center" indent="3"/>
    </xf>
    <xf numFmtId="0" fontId="0" fillId="0" borderId="1" xfId="0" applyBorder="1" applyAlignment="1">
      <alignment horizontal="left" vertical="center"/>
    </xf>
    <xf numFmtId="0" fontId="2" fillId="0" borderId="1" xfId="0" applyFont="1" applyBorder="1" applyAlignment="1">
      <alignment vertical="center"/>
    </xf>
    <xf numFmtId="0" fontId="2" fillId="0" borderId="2" xfId="0" applyFont="1" applyBorder="1" applyAlignment="1">
      <alignment vertical="center"/>
    </xf>
    <xf numFmtId="165" fontId="0" fillId="0" borderId="1" xfId="0" applyNumberFormat="1" applyBorder="1" applyAlignment="1">
      <alignment vertical="center"/>
    </xf>
    <xf numFmtId="0" fontId="0" fillId="0" borderId="1" xfId="0" applyBorder="1" applyAlignment="1">
      <alignment horizontal="left" vertical="center" indent="2"/>
    </xf>
    <xf numFmtId="0" fontId="0" fillId="0" borderId="1" xfId="0" applyBorder="1" applyAlignment="1">
      <alignment horizontal="left" vertical="center" wrapText="1" indent="2"/>
    </xf>
    <xf numFmtId="0" fontId="2" fillId="0" borderId="1" xfId="0" applyFont="1" applyBorder="1" applyAlignment="1">
      <alignment horizontal="left" vertical="center" indent="2"/>
    </xf>
    <xf numFmtId="0" fontId="0" fillId="0" borderId="11" xfId="0" applyBorder="1" applyAlignment="1">
      <alignment vertical="center"/>
    </xf>
    <xf numFmtId="0" fontId="0" fillId="0" borderId="10" xfId="0" applyBorder="1" applyAlignment="1">
      <alignment horizontal="left" vertical="center" wrapText="1"/>
    </xf>
    <xf numFmtId="0" fontId="0" fillId="0" borderId="10" xfId="0" applyBorder="1" applyAlignment="1">
      <alignment vertical="center" wrapText="1"/>
    </xf>
    <xf numFmtId="0" fontId="3" fillId="4" borderId="7" xfId="0" applyFont="1" applyFill="1" applyBorder="1" applyAlignment="1">
      <alignment vertical="center"/>
    </xf>
    <xf numFmtId="0" fontId="3" fillId="4" borderId="11" xfId="0" applyFont="1" applyFill="1" applyBorder="1" applyAlignment="1">
      <alignment vertical="center"/>
    </xf>
    <xf numFmtId="0" fontId="3" fillId="4" borderId="6" xfId="0" applyFont="1" applyFill="1" applyBorder="1" applyAlignment="1">
      <alignment vertical="center"/>
    </xf>
    <xf numFmtId="0" fontId="2" fillId="0" borderId="6" xfId="0" applyFont="1" applyBorder="1" applyAlignment="1">
      <alignment vertical="center"/>
    </xf>
    <xf numFmtId="0" fontId="2" fillId="0" borderId="4" xfId="0" applyFont="1" applyBorder="1" applyAlignment="1">
      <alignment vertical="center"/>
    </xf>
    <xf numFmtId="165" fontId="0" fillId="3" borderId="4" xfId="1" applyNumberFormat="1" applyFont="1" applyFill="1" applyBorder="1" applyAlignment="1">
      <alignment vertical="center"/>
    </xf>
    <xf numFmtId="0" fontId="0" fillId="0" borderId="4" xfId="0" applyBorder="1" applyAlignment="1">
      <alignment horizontal="left" vertical="center"/>
    </xf>
    <xf numFmtId="0" fontId="0" fillId="0" borderId="4" xfId="0" applyBorder="1" applyAlignment="1">
      <alignment vertical="center" wrapText="1"/>
    </xf>
    <xf numFmtId="165" fontId="0" fillId="0" borderId="1" xfId="1" applyNumberFormat="1" applyFont="1" applyFill="1" applyBorder="1" applyAlignment="1">
      <alignment vertical="center"/>
    </xf>
    <xf numFmtId="44" fontId="2" fillId="0" borderId="1" xfId="2" applyFont="1" applyFill="1" applyBorder="1" applyAlignment="1">
      <alignment vertical="center"/>
    </xf>
    <xf numFmtId="0" fontId="2" fillId="0" borderId="1" xfId="0" applyFont="1" applyBorder="1" applyAlignment="1">
      <alignment horizontal="left" vertical="center"/>
    </xf>
    <xf numFmtId="43" fontId="0" fillId="0" borderId="0" xfId="0" applyNumberFormat="1" applyAlignment="1">
      <alignment wrapText="1"/>
    </xf>
    <xf numFmtId="164" fontId="0" fillId="0" borderId="1" xfId="2" applyNumberFormat="1" applyFont="1" applyBorder="1" applyAlignment="1">
      <alignment vertical="center"/>
    </xf>
    <xf numFmtId="0" fontId="0" fillId="5" borderId="0" xfId="0" applyFill="1"/>
    <xf numFmtId="165" fontId="0" fillId="3" borderId="2" xfId="1" applyNumberFormat="1" applyFont="1" applyFill="1" applyBorder="1" applyAlignment="1">
      <alignment vertical="center"/>
    </xf>
    <xf numFmtId="44" fontId="0" fillId="0" borderId="2" xfId="2" applyFont="1" applyBorder="1" applyAlignment="1">
      <alignment vertical="center"/>
    </xf>
    <xf numFmtId="0" fontId="0" fillId="0" borderId="2" xfId="0" applyBorder="1" applyAlignment="1">
      <alignment vertical="center"/>
    </xf>
    <xf numFmtId="165" fontId="3" fillId="4" borderId="11" xfId="1" applyNumberFormat="1" applyFont="1" applyFill="1" applyBorder="1" applyAlignment="1">
      <alignment vertical="center"/>
    </xf>
    <xf numFmtId="165" fontId="2" fillId="3" borderId="2" xfId="1" applyNumberFormat="1" applyFont="1" applyFill="1" applyBorder="1" applyAlignment="1">
      <alignment vertical="center"/>
    </xf>
    <xf numFmtId="165" fontId="0" fillId="3" borderId="3" xfId="1" applyNumberFormat="1" applyFont="1" applyFill="1" applyBorder="1" applyAlignment="1">
      <alignment vertical="center"/>
    </xf>
    <xf numFmtId="0" fontId="2" fillId="0" borderId="3" xfId="0" applyFont="1" applyBorder="1" applyAlignment="1">
      <alignment vertical="center"/>
    </xf>
    <xf numFmtId="0" fontId="2" fillId="0" borderId="13" xfId="0" applyFont="1" applyBorder="1" applyAlignment="1">
      <alignment vertical="center"/>
    </xf>
    <xf numFmtId="44" fontId="0" fillId="0" borderId="3" xfId="2" applyFont="1" applyBorder="1" applyAlignment="1">
      <alignment vertical="center"/>
    </xf>
    <xf numFmtId="0" fontId="0" fillId="0" borderId="3" xfId="0" applyBorder="1" applyAlignment="1">
      <alignment vertical="center"/>
    </xf>
    <xf numFmtId="0" fontId="0" fillId="3" borderId="1" xfId="0" applyFill="1" applyBorder="1" applyAlignment="1">
      <alignment vertical="center"/>
    </xf>
    <xf numFmtId="44" fontId="0" fillId="0" borderId="9" xfId="2" applyFont="1" applyBorder="1" applyAlignment="1">
      <alignment vertical="center"/>
    </xf>
    <xf numFmtId="165" fontId="0" fillId="0" borderId="0" xfId="1" applyNumberFormat="1" applyFont="1" applyFill="1" applyBorder="1" applyAlignment="1">
      <alignment vertical="center"/>
    </xf>
    <xf numFmtId="165" fontId="0" fillId="0" borderId="14" xfId="1" applyNumberFormat="1" applyFont="1" applyFill="1" applyBorder="1" applyAlignment="1">
      <alignment vertical="center"/>
    </xf>
    <xf numFmtId="44" fontId="0" fillId="8" borderId="1" xfId="2" applyFont="1" applyFill="1" applyBorder="1" applyAlignment="1">
      <alignment vertical="center"/>
    </xf>
    <xf numFmtId="1" fontId="0" fillId="8" borderId="0" xfId="1" applyNumberFormat="1" applyFont="1" applyFill="1"/>
    <xf numFmtId="43" fontId="0" fillId="8" borderId="0" xfId="1" applyFont="1" applyFill="1"/>
    <xf numFmtId="165" fontId="0" fillId="8" borderId="0" xfId="0" applyNumberFormat="1" applyFill="1"/>
    <xf numFmtId="1" fontId="0" fillId="8" borderId="0" xfId="0" applyNumberFormat="1" applyFill="1"/>
    <xf numFmtId="0" fontId="0" fillId="8" borderId="0" xfId="0" applyFill="1"/>
    <xf numFmtId="1" fontId="2" fillId="8" borderId="1" xfId="0" applyNumberFormat="1" applyFont="1" applyFill="1" applyBorder="1" applyAlignment="1">
      <alignment wrapText="1"/>
    </xf>
    <xf numFmtId="0" fontId="2" fillId="8" borderId="1" xfId="0" applyFont="1" applyFill="1" applyBorder="1" applyAlignment="1">
      <alignment wrapText="1"/>
    </xf>
    <xf numFmtId="1" fontId="0" fillId="8" borderId="1" xfId="1" applyNumberFormat="1" applyFont="1" applyFill="1" applyBorder="1"/>
    <xf numFmtId="43" fontId="0" fillId="8" borderId="1" xfId="1" applyFont="1" applyFill="1" applyBorder="1"/>
    <xf numFmtId="165" fontId="0" fillId="8" borderId="1" xfId="0" applyNumberFormat="1" applyFill="1" applyBorder="1"/>
    <xf numFmtId="44" fontId="2" fillId="0" borderId="8" xfId="2" applyFont="1" applyBorder="1" applyAlignment="1">
      <alignment vertical="center"/>
    </xf>
    <xf numFmtId="0" fontId="2" fillId="0" borderId="5" xfId="0" applyFont="1" applyBorder="1" applyAlignment="1">
      <alignment horizontal="right" vertical="center"/>
    </xf>
    <xf numFmtId="0" fontId="6" fillId="6" borderId="0" xfId="0" applyFont="1" applyFill="1"/>
    <xf numFmtId="0" fontId="0" fillId="0" borderId="0" xfId="0" applyAlignment="1">
      <alignment vertical="center" wrapText="1"/>
    </xf>
    <xf numFmtId="0" fontId="0" fillId="6" borderId="0" xfId="0" applyFill="1" applyAlignment="1">
      <alignment vertical="center" wrapText="1"/>
    </xf>
    <xf numFmtId="164" fontId="0" fillId="0" borderId="0" xfId="0" applyNumberFormat="1"/>
    <xf numFmtId="165" fontId="0" fillId="0" borderId="13" xfId="0" applyNumberFormat="1" applyBorder="1"/>
    <xf numFmtId="9" fontId="0" fillId="0" borderId="0" xfId="3" applyFont="1" applyBorder="1"/>
    <xf numFmtId="164" fontId="0" fillId="0" borderId="9" xfId="2" applyNumberFormat="1" applyFont="1" applyBorder="1"/>
    <xf numFmtId="165" fontId="0" fillId="0" borderId="16" xfId="0" applyNumberFormat="1" applyBorder="1"/>
    <xf numFmtId="165" fontId="0" fillId="0" borderId="14" xfId="0" applyNumberFormat="1" applyBorder="1"/>
    <xf numFmtId="9" fontId="0" fillId="0" borderId="14" xfId="3" applyFont="1" applyBorder="1"/>
    <xf numFmtId="164" fontId="0" fillId="0" borderId="10" xfId="2" applyNumberFormat="1" applyFont="1" applyBorder="1"/>
    <xf numFmtId="1" fontId="0" fillId="0" borderId="13" xfId="0" applyNumberFormat="1" applyBorder="1"/>
    <xf numFmtId="1" fontId="0" fillId="0" borderId="16" xfId="0" applyNumberFormat="1" applyBorder="1"/>
    <xf numFmtId="1" fontId="0" fillId="0" borderId="14" xfId="0" applyNumberFormat="1" applyBorder="1"/>
    <xf numFmtId="43" fontId="0" fillId="0" borderId="13" xfId="0" applyNumberFormat="1" applyBorder="1"/>
    <xf numFmtId="0" fontId="2" fillId="0" borderId="5" xfId="0" applyFont="1" applyBorder="1" applyAlignment="1">
      <alignment wrapText="1"/>
    </xf>
    <xf numFmtId="0" fontId="2" fillId="0" borderId="12" xfId="0" applyFont="1" applyBorder="1" applyAlignment="1">
      <alignment wrapText="1"/>
    </xf>
    <xf numFmtId="0" fontId="2" fillId="0" borderId="12" xfId="0" applyFont="1" applyBorder="1"/>
    <xf numFmtId="0" fontId="2" fillId="0" borderId="8" xfId="0" applyFont="1" applyBorder="1" applyAlignment="1">
      <alignment wrapText="1"/>
    </xf>
    <xf numFmtId="0" fontId="2" fillId="0" borderId="5" xfId="1" applyNumberFormat="1" applyFont="1" applyBorder="1"/>
    <xf numFmtId="0" fontId="2" fillId="0" borderId="12" xfId="1" applyNumberFormat="1" applyFont="1" applyBorder="1"/>
    <xf numFmtId="165" fontId="2" fillId="0" borderId="8" xfId="1" applyNumberFormat="1" applyFont="1" applyBorder="1"/>
    <xf numFmtId="165" fontId="0" fillId="0" borderId="13" xfId="1" applyNumberFormat="1" applyFont="1" applyBorder="1"/>
    <xf numFmtId="165" fontId="0" fillId="0" borderId="0" xfId="1" applyNumberFormat="1" applyFont="1" applyBorder="1"/>
    <xf numFmtId="165" fontId="0" fillId="0" borderId="9" xfId="1" applyNumberFormat="1" applyFont="1" applyBorder="1"/>
    <xf numFmtId="165" fontId="0" fillId="0" borderId="16" xfId="1" applyNumberFormat="1" applyFont="1" applyBorder="1"/>
    <xf numFmtId="165" fontId="0" fillId="0" borderId="14" xfId="1" applyNumberFormat="1" applyFont="1" applyBorder="1"/>
    <xf numFmtId="0" fontId="5" fillId="7" borderId="1" xfId="0" applyFont="1" applyFill="1" applyBorder="1" applyAlignment="1">
      <alignment vertical="center" wrapText="1"/>
    </xf>
    <xf numFmtId="0" fontId="0" fillId="0" borderId="4" xfId="0" applyBorder="1" applyAlignment="1">
      <alignment horizontal="left" vertical="center" wrapText="1"/>
    </xf>
    <xf numFmtId="9" fontId="2" fillId="3" borderId="1" xfId="3" applyFont="1" applyFill="1" applyBorder="1" applyAlignment="1">
      <alignment vertical="center"/>
    </xf>
    <xf numFmtId="165" fontId="2" fillId="0" borderId="1" xfId="1" applyNumberFormat="1" applyFont="1" applyBorder="1" applyAlignment="1">
      <alignment vertical="center"/>
    </xf>
    <xf numFmtId="9" fontId="2" fillId="3" borderId="11" xfId="3" applyFont="1" applyFill="1" applyBorder="1" applyAlignment="1">
      <alignment vertical="center"/>
    </xf>
    <xf numFmtId="9" fontId="0" fillId="3" borderId="2" xfId="3" applyFont="1" applyFill="1" applyBorder="1" applyAlignment="1">
      <alignment vertical="center"/>
    </xf>
    <xf numFmtId="167" fontId="0" fillId="3" borderId="1" xfId="3" applyNumberFormat="1" applyFont="1" applyFill="1" applyBorder="1" applyAlignment="1">
      <alignment vertical="center"/>
    </xf>
    <xf numFmtId="165" fontId="0" fillId="8" borderId="1" xfId="1" applyNumberFormat="1" applyFont="1" applyFill="1" applyBorder="1" applyAlignment="1">
      <alignment vertical="center"/>
    </xf>
    <xf numFmtId="43" fontId="0" fillId="0" borderId="9" xfId="1" applyFont="1" applyBorder="1"/>
    <xf numFmtId="0" fontId="7" fillId="0" borderId="0" xfId="0" applyFont="1"/>
    <xf numFmtId="169" fontId="0" fillId="0" borderId="0" xfId="0" applyNumberFormat="1"/>
    <xf numFmtId="171" fontId="0" fillId="0" borderId="0" xfId="0" applyNumberFormat="1"/>
    <xf numFmtId="171" fontId="0" fillId="0" borderId="0" xfId="1" applyNumberFormat="1" applyFont="1"/>
    <xf numFmtId="172" fontId="0" fillId="0" borderId="0" xfId="1" applyNumberFormat="1" applyFont="1"/>
    <xf numFmtId="171" fontId="2" fillId="0" borderId="0" xfId="0" applyNumberFormat="1" applyFont="1"/>
    <xf numFmtId="165" fontId="2" fillId="0" borderId="0" xfId="1" applyNumberFormat="1" applyFont="1"/>
    <xf numFmtId="0" fontId="8" fillId="0" borderId="0" xfId="0" applyFont="1"/>
    <xf numFmtId="0" fontId="9" fillId="0" borderId="0" xfId="0" applyFont="1"/>
    <xf numFmtId="170" fontId="9" fillId="0" borderId="0" xfId="0" applyNumberFormat="1" applyFont="1"/>
    <xf numFmtId="172" fontId="9" fillId="0" borderId="0" xfId="0" applyNumberFormat="1" applyFont="1"/>
    <xf numFmtId="168" fontId="9" fillId="0" borderId="0" xfId="0" applyNumberFormat="1" applyFont="1"/>
    <xf numFmtId="165" fontId="2" fillId="0" borderId="9" xfId="1" applyNumberFormat="1" applyFont="1" applyBorder="1"/>
    <xf numFmtId="0" fontId="2" fillId="0" borderId="9" xfId="0" applyFont="1" applyBorder="1"/>
    <xf numFmtId="0" fontId="0" fillId="0" borderId="9" xfId="0" applyBorder="1"/>
    <xf numFmtId="0" fontId="10" fillId="9" borderId="17" xfId="0" applyFont="1" applyFill="1" applyBorder="1"/>
    <xf numFmtId="0" fontId="10" fillId="9" borderId="18" xfId="0" applyFont="1" applyFill="1" applyBorder="1"/>
    <xf numFmtId="0" fontId="10" fillId="9" borderId="19" xfId="0" applyFont="1" applyFill="1" applyBorder="1"/>
    <xf numFmtId="0" fontId="13" fillId="0" borderId="0" xfId="0" applyFont="1" applyAlignment="1">
      <alignment horizontal="center" vertical="center" readingOrder="1"/>
    </xf>
    <xf numFmtId="0" fontId="13" fillId="0" borderId="0" xfId="0" applyFont="1" applyAlignment="1">
      <alignment vertical="center"/>
    </xf>
    <xf numFmtId="0" fontId="14" fillId="0" borderId="8" xfId="0" applyFont="1" applyBorder="1" applyAlignment="1">
      <alignment vertical="center" wrapText="1" readingOrder="1"/>
    </xf>
    <xf numFmtId="0" fontId="14" fillId="0" borderId="0" xfId="0" applyFont="1" applyAlignment="1">
      <alignment vertical="center" wrapText="1" readingOrder="1"/>
    </xf>
    <xf numFmtId="0" fontId="13" fillId="0" borderId="0" xfId="0" applyFont="1" applyAlignment="1">
      <alignment horizontal="left" vertical="center" readingOrder="1"/>
    </xf>
    <xf numFmtId="0" fontId="15" fillId="0" borderId="9" xfId="0" applyFont="1" applyBorder="1" applyAlignment="1">
      <alignment vertical="center" wrapText="1" readingOrder="1"/>
    </xf>
    <xf numFmtId="0" fontId="15" fillId="0" borderId="0" xfId="0" applyFont="1" applyAlignment="1">
      <alignment horizontal="right" vertical="center" wrapText="1" readingOrder="1"/>
    </xf>
    <xf numFmtId="0" fontId="14" fillId="0" borderId="9" xfId="0" applyFont="1" applyBorder="1" applyAlignment="1">
      <alignment vertical="center" wrapText="1" readingOrder="1"/>
    </xf>
    <xf numFmtId="0" fontId="14" fillId="0" borderId="0" xfId="0" applyFont="1" applyAlignment="1">
      <alignment horizontal="right" vertical="center" wrapText="1" readingOrder="1"/>
    </xf>
    <xf numFmtId="0" fontId="13" fillId="0" borderId="0" xfId="0" applyFont="1" applyAlignment="1">
      <alignment horizontal="left" vertical="center" wrapText="1"/>
    </xf>
    <xf numFmtId="165" fontId="15" fillId="0" borderId="0" xfId="1" applyNumberFormat="1" applyFont="1" applyBorder="1" applyAlignment="1">
      <alignment vertical="center" wrapText="1" readingOrder="1"/>
    </xf>
    <xf numFmtId="0" fontId="16" fillId="0" borderId="0" xfId="4" applyFont="1" applyBorder="1" applyAlignment="1">
      <alignment horizontal="left" vertical="center" readingOrder="1"/>
    </xf>
    <xf numFmtId="0" fontId="17" fillId="0" borderId="9" xfId="0" applyFont="1" applyBorder="1" applyAlignment="1">
      <alignment vertical="center" wrapText="1" readingOrder="1"/>
    </xf>
    <xf numFmtId="167" fontId="15" fillId="0" borderId="0" xfId="3" applyNumberFormat="1" applyFont="1" applyBorder="1" applyAlignment="1">
      <alignment vertical="center" wrapText="1" readingOrder="1"/>
    </xf>
    <xf numFmtId="0" fontId="17" fillId="0" borderId="0" xfId="0" applyFont="1" applyAlignment="1">
      <alignment horizontal="left" vertical="center" readingOrder="1"/>
    </xf>
    <xf numFmtId="165" fontId="15" fillId="0" borderId="0" xfId="0" applyNumberFormat="1" applyFont="1" applyAlignment="1">
      <alignment vertical="center" wrapText="1" readingOrder="1"/>
    </xf>
    <xf numFmtId="2" fontId="15" fillId="0" borderId="0" xfId="0" applyNumberFormat="1" applyFont="1" applyAlignment="1">
      <alignment vertical="center" wrapText="1" readingOrder="1"/>
    </xf>
    <xf numFmtId="0" fontId="15" fillId="0" borderId="0" xfId="0" applyFont="1" applyAlignment="1">
      <alignment vertical="center" wrapText="1" readingOrder="1"/>
    </xf>
    <xf numFmtId="0" fontId="13" fillId="0" borderId="0" xfId="0" applyFont="1" applyAlignment="1">
      <alignment vertical="center" wrapText="1"/>
    </xf>
    <xf numFmtId="165" fontId="15" fillId="0" borderId="0" xfId="0" applyNumberFormat="1" applyFont="1" applyAlignment="1">
      <alignment vertical="center" readingOrder="1"/>
    </xf>
    <xf numFmtId="0" fontId="15" fillId="0" borderId="0" xfId="0" applyFont="1" applyAlignment="1">
      <alignment vertical="center" readingOrder="1"/>
    </xf>
    <xf numFmtId="0" fontId="17" fillId="0" borderId="0" xfId="0" applyFont="1" applyAlignment="1">
      <alignment horizontal="center" vertical="center" readingOrder="1"/>
    </xf>
    <xf numFmtId="0" fontId="13" fillId="0" borderId="0" xfId="0" applyFont="1" applyAlignment="1">
      <alignment vertical="center" readingOrder="1"/>
    </xf>
    <xf numFmtId="0" fontId="15" fillId="0" borderId="10" xfId="0" applyFont="1" applyBorder="1" applyAlignment="1">
      <alignment vertical="center" wrapText="1" readingOrder="1"/>
    </xf>
    <xf numFmtId="10" fontId="15" fillId="0" borderId="0" xfId="0" applyNumberFormat="1" applyFont="1" applyAlignment="1">
      <alignment vertical="center" readingOrder="1"/>
    </xf>
    <xf numFmtId="0" fontId="14" fillId="0" borderId="11" xfId="0" applyFont="1" applyBorder="1" applyAlignment="1">
      <alignment horizontal="center" vertical="center" readingOrder="1"/>
    </xf>
    <xf numFmtId="0" fontId="13" fillId="0" borderId="1" xfId="0" applyFont="1" applyBorder="1" applyAlignment="1">
      <alignment horizontal="center" vertical="center" readingOrder="1"/>
    </xf>
    <xf numFmtId="0" fontId="13" fillId="5" borderId="1" xfId="0" applyFont="1" applyFill="1" applyBorder="1" applyAlignment="1">
      <alignment horizontal="center" vertical="center" readingOrder="1"/>
    </xf>
    <xf numFmtId="0" fontId="13" fillId="10" borderId="1" xfId="0" applyFont="1" applyFill="1" applyBorder="1" applyAlignment="1">
      <alignment horizontal="center" vertical="center" readingOrder="1"/>
    </xf>
    <xf numFmtId="0" fontId="14" fillId="0" borderId="11" xfId="0" applyFont="1" applyBorder="1" applyAlignment="1">
      <alignment horizontal="center" vertical="center" wrapText="1" readingOrder="1"/>
    </xf>
    <xf numFmtId="0" fontId="14" fillId="0" borderId="6" xfId="0" applyFont="1" applyBorder="1" applyAlignment="1">
      <alignment horizontal="center" vertical="center" wrapText="1" readingOrder="1"/>
    </xf>
    <xf numFmtId="0" fontId="14" fillId="0" borderId="0" xfId="0" applyFont="1" applyAlignment="1">
      <alignment horizontal="center" vertical="center" readingOrder="1"/>
    </xf>
    <xf numFmtId="0" fontId="13" fillId="0" borderId="0" xfId="0" applyFont="1" applyAlignment="1">
      <alignment horizontal="center" vertical="center"/>
    </xf>
    <xf numFmtId="10" fontId="15" fillId="0" borderId="0" xfId="3" applyNumberFormat="1" applyFont="1" applyBorder="1" applyAlignment="1">
      <alignment horizontal="right" vertical="center" readingOrder="1"/>
    </xf>
    <xf numFmtId="10" fontId="15" fillId="0" borderId="0" xfId="0" applyNumberFormat="1" applyFont="1" applyAlignment="1">
      <alignment horizontal="right" vertical="center" readingOrder="1"/>
    </xf>
    <xf numFmtId="0" fontId="15" fillId="5" borderId="9" xfId="0" applyFont="1" applyFill="1" applyBorder="1" applyAlignment="1">
      <alignment vertical="center" wrapText="1" readingOrder="1"/>
    </xf>
    <xf numFmtId="0" fontId="15" fillId="0" borderId="0" xfId="0" applyFont="1" applyAlignment="1">
      <alignment horizontal="right" vertical="center" readingOrder="1"/>
    </xf>
    <xf numFmtId="0" fontId="15" fillId="0" borderId="0" xfId="0" applyFont="1" applyAlignment="1">
      <alignment horizontal="left" vertical="center" readingOrder="1"/>
    </xf>
    <xf numFmtId="0" fontId="15" fillId="4" borderId="9" xfId="0" applyFont="1" applyFill="1" applyBorder="1" applyAlignment="1">
      <alignment vertical="center" wrapText="1" readingOrder="1"/>
    </xf>
    <xf numFmtId="0" fontId="13" fillId="10" borderId="9" xfId="0" applyFont="1" applyFill="1" applyBorder="1" applyAlignment="1">
      <alignment vertical="center" wrapText="1" readingOrder="1"/>
    </xf>
    <xf numFmtId="0" fontId="13" fillId="0" borderId="9" xfId="0" applyFont="1" applyBorder="1" applyAlignment="1">
      <alignment vertical="center" wrapText="1" readingOrder="1"/>
    </xf>
    <xf numFmtId="0" fontId="17" fillId="0" borderId="0" xfId="0" applyFont="1" applyAlignment="1">
      <alignment vertical="center"/>
    </xf>
    <xf numFmtId="0" fontId="15" fillId="10" borderId="9" xfId="0" applyFont="1" applyFill="1" applyBorder="1" applyAlignment="1">
      <alignment vertical="center" wrapText="1" readingOrder="1"/>
    </xf>
    <xf numFmtId="0" fontId="15" fillId="0" borderId="20" xfId="0" applyFont="1" applyBorder="1" applyAlignment="1">
      <alignment vertical="center" wrapText="1" readingOrder="1"/>
    </xf>
    <xf numFmtId="10" fontId="15" fillId="0" borderId="15" xfId="0" applyNumberFormat="1" applyFont="1" applyBorder="1" applyAlignment="1">
      <alignment horizontal="right" vertical="center" readingOrder="1"/>
    </xf>
    <xf numFmtId="165" fontId="15" fillId="0" borderId="15" xfId="0" applyNumberFormat="1" applyFont="1" applyBorder="1" applyAlignment="1">
      <alignment vertical="center" readingOrder="1"/>
    </xf>
    <xf numFmtId="0" fontId="15" fillId="0" borderId="15" xfId="0" applyFont="1" applyBorder="1" applyAlignment="1">
      <alignment horizontal="left" vertical="center" readingOrder="1"/>
    </xf>
    <xf numFmtId="0" fontId="13" fillId="0" borderId="15" xfId="0" applyFont="1" applyBorder="1" applyAlignment="1">
      <alignment horizontal="left" vertical="center" readingOrder="1"/>
    </xf>
    <xf numFmtId="10" fontId="14" fillId="0" borderId="0" xfId="0" applyNumberFormat="1" applyFont="1" applyAlignment="1">
      <alignment vertical="center" readingOrder="1"/>
    </xf>
    <xf numFmtId="165" fontId="14" fillId="0" borderId="0" xfId="0" applyNumberFormat="1" applyFont="1" applyAlignment="1">
      <alignment vertical="center" readingOrder="1"/>
    </xf>
    <xf numFmtId="0" fontId="14" fillId="0" borderId="0" xfId="0" applyFont="1" applyAlignment="1">
      <alignment vertical="center" readingOrder="1"/>
    </xf>
    <xf numFmtId="0" fontId="15" fillId="0" borderId="8" xfId="0" applyFont="1" applyBorder="1" applyAlignment="1">
      <alignment vertical="center" wrapText="1" readingOrder="1"/>
    </xf>
    <xf numFmtId="0" fontId="13" fillId="0" borderId="10" xfId="0" applyFont="1" applyBorder="1" applyAlignment="1">
      <alignment vertical="center"/>
    </xf>
    <xf numFmtId="0" fontId="15" fillId="0" borderId="8" xfId="0" applyFont="1" applyBorder="1" applyAlignment="1">
      <alignment vertical="center" readingOrder="1"/>
    </xf>
    <xf numFmtId="0" fontId="15" fillId="0" borderId="9" xfId="0" applyFont="1" applyBorder="1" applyAlignment="1">
      <alignment vertical="center" readingOrder="1"/>
    </xf>
    <xf numFmtId="0" fontId="13" fillId="0" borderId="0" xfId="0" applyFont="1" applyAlignment="1">
      <alignment horizontal="left" vertical="center"/>
    </xf>
    <xf numFmtId="43" fontId="15" fillId="0" borderId="0" xfId="1" applyFont="1" applyBorder="1" applyAlignment="1">
      <alignment vertical="center" readingOrder="1"/>
    </xf>
    <xf numFmtId="43" fontId="15" fillId="0" borderId="0" xfId="0" applyNumberFormat="1" applyFont="1" applyAlignment="1">
      <alignment vertical="center" readingOrder="1"/>
    </xf>
    <xf numFmtId="165" fontId="13" fillId="0" borderId="0" xfId="0" applyNumberFormat="1" applyFont="1" applyAlignment="1">
      <alignment vertical="center"/>
    </xf>
    <xf numFmtId="0" fontId="15" fillId="0" borderId="0" xfId="0" applyFont="1" applyAlignment="1">
      <alignment horizontal="justify" vertical="center" readingOrder="1"/>
    </xf>
    <xf numFmtId="0" fontId="15" fillId="0" borderId="0" xfId="0" applyFont="1" applyAlignment="1">
      <alignment horizontal="justify" vertical="center" wrapText="1" readingOrder="1"/>
    </xf>
    <xf numFmtId="0" fontId="15" fillId="0" borderId="20" xfId="0" applyFont="1" applyBorder="1" applyAlignment="1">
      <alignment vertical="center" readingOrder="1"/>
    </xf>
    <xf numFmtId="9" fontId="15" fillId="0" borderId="15" xfId="0" applyNumberFormat="1" applyFont="1" applyBorder="1" applyAlignment="1">
      <alignment vertical="center" readingOrder="1"/>
    </xf>
    <xf numFmtId="9" fontId="15" fillId="0" borderId="0" xfId="0" applyNumberFormat="1" applyFont="1" applyAlignment="1">
      <alignment vertical="center" readingOrder="1"/>
    </xf>
    <xf numFmtId="0" fontId="14" fillId="0" borderId="4" xfId="0" applyFont="1" applyBorder="1" applyAlignment="1">
      <alignment vertical="center" readingOrder="1"/>
    </xf>
    <xf numFmtId="173" fontId="14" fillId="0" borderId="14" xfId="0" applyNumberFormat="1" applyFont="1" applyBorder="1" applyAlignment="1">
      <alignment vertical="center" readingOrder="1"/>
    </xf>
    <xf numFmtId="173" fontId="14" fillId="0" borderId="10" xfId="0" applyNumberFormat="1" applyFont="1" applyBorder="1" applyAlignment="1">
      <alignment vertical="center" readingOrder="1"/>
    </xf>
    <xf numFmtId="173" fontId="14" fillId="0" borderId="0" xfId="0" applyNumberFormat="1" applyFont="1" applyAlignment="1">
      <alignment vertical="center" readingOrder="1"/>
    </xf>
    <xf numFmtId="0" fontId="18" fillId="0" borderId="0" xfId="0" applyFont="1" applyAlignment="1">
      <alignment vertical="center"/>
    </xf>
    <xf numFmtId="0" fontId="16" fillId="0" borderId="0" xfId="4" applyFont="1" applyBorder="1" applyAlignment="1">
      <alignment vertical="center"/>
    </xf>
    <xf numFmtId="0" fontId="16" fillId="0" borderId="11" xfId="4" applyFont="1" applyBorder="1" applyAlignment="1">
      <alignment vertical="center"/>
    </xf>
    <xf numFmtId="0" fontId="16" fillId="0" borderId="6" xfId="4" applyFont="1" applyBorder="1" applyAlignment="1">
      <alignment vertical="center"/>
    </xf>
    <xf numFmtId="0" fontId="11" fillId="0" borderId="1" xfId="4" applyBorder="1" applyAlignment="1">
      <alignment vertical="center"/>
    </xf>
    <xf numFmtId="43" fontId="0" fillId="0" borderId="1" xfId="1" applyFont="1" applyBorder="1" applyAlignment="1">
      <alignment vertical="center"/>
    </xf>
    <xf numFmtId="0" fontId="0" fillId="0" borderId="1" xfId="0" applyBorder="1" applyAlignment="1">
      <alignment vertical="center" wrapText="1"/>
    </xf>
    <xf numFmtId="44" fontId="2" fillId="0" borderId="1" xfId="2" applyFont="1" applyBorder="1" applyAlignment="1">
      <alignment vertical="center"/>
    </xf>
    <xf numFmtId="0" fontId="0" fillId="0" borderId="7" xfId="0" applyBorder="1" applyAlignment="1">
      <alignment vertical="center"/>
    </xf>
    <xf numFmtId="0" fontId="11" fillId="0" borderId="7" xfId="4" applyBorder="1" applyAlignment="1">
      <alignment vertical="center"/>
    </xf>
    <xf numFmtId="165" fontId="0" fillId="0" borderId="6" xfId="0" applyNumberFormat="1" applyBorder="1" applyAlignment="1">
      <alignment vertical="center"/>
    </xf>
    <xf numFmtId="44" fontId="0" fillId="3" borderId="1" xfId="2" applyFont="1" applyFill="1" applyBorder="1" applyAlignment="1">
      <alignment vertical="center"/>
    </xf>
    <xf numFmtId="0" fontId="11" fillId="0" borderId="0" xfId="4" applyAlignment="1">
      <alignment horizontal="left" indent="2"/>
    </xf>
    <xf numFmtId="44" fontId="0" fillId="3" borderId="2" xfId="2" applyFont="1" applyFill="1" applyBorder="1" applyAlignment="1">
      <alignment vertical="center"/>
    </xf>
    <xf numFmtId="1" fontId="0" fillId="3" borderId="2" xfId="2" applyNumberFormat="1" applyFont="1" applyFill="1" applyBorder="1" applyAlignment="1">
      <alignment vertical="center"/>
    </xf>
    <xf numFmtId="0" fontId="11" fillId="0" borderId="2" xfId="4" applyBorder="1" applyAlignment="1">
      <alignment vertical="center"/>
    </xf>
    <xf numFmtId="10" fontId="2" fillId="3" borderId="1" xfId="3" applyNumberFormat="1" applyFont="1" applyFill="1" applyBorder="1" applyAlignment="1">
      <alignment vertical="center"/>
    </xf>
    <xf numFmtId="0" fontId="16" fillId="0" borderId="0" xfId="4" applyFont="1" applyAlignment="1">
      <alignment horizontal="left" vertical="center" readingOrder="1"/>
    </xf>
    <xf numFmtId="165" fontId="3" fillId="0" borderId="1" xfId="1" applyNumberFormat="1" applyFont="1" applyBorder="1" applyAlignment="1">
      <alignment horizontal="right" vertical="center"/>
    </xf>
    <xf numFmtId="0" fontId="0" fillId="0" borderId="0" xfId="0" applyAlignment="1">
      <alignment wrapText="1"/>
    </xf>
    <xf numFmtId="0" fontId="0" fillId="2" borderId="0" xfId="0" applyFill="1" applyAlignment="1">
      <alignment wrapText="1"/>
    </xf>
    <xf numFmtId="3" fontId="0" fillId="0" borderId="0" xfId="0" applyNumberFormat="1"/>
    <xf numFmtId="173" fontId="0" fillId="0" borderId="0" xfId="1" applyNumberFormat="1" applyFont="1"/>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4" fillId="4" borderId="5"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6" xfId="0" applyFont="1" applyFill="1" applyBorder="1" applyAlignment="1">
      <alignment horizontal="center" vertical="center"/>
    </xf>
    <xf numFmtId="0" fontId="3" fillId="4" borderId="7" xfId="0" applyFont="1" applyFill="1" applyBorder="1" applyAlignment="1">
      <alignment horizontal="left" vertical="center"/>
    </xf>
    <xf numFmtId="0" fontId="3" fillId="4" borderId="11" xfId="0" applyFont="1" applyFill="1" applyBorder="1" applyAlignment="1">
      <alignment horizontal="left" vertical="center"/>
    </xf>
    <xf numFmtId="0" fontId="3" fillId="4" borderId="6" xfId="0" applyFont="1" applyFill="1" applyBorder="1" applyAlignment="1">
      <alignment horizontal="left" vertical="center"/>
    </xf>
    <xf numFmtId="0" fontId="19" fillId="3" borderId="7" xfId="0" applyFont="1" applyFill="1" applyBorder="1" applyAlignment="1">
      <alignment horizontal="center" vertical="center"/>
    </xf>
    <xf numFmtId="0" fontId="19" fillId="3" borderId="6" xfId="0" applyFont="1" applyFill="1" applyBorder="1" applyAlignment="1">
      <alignment horizontal="center" vertical="center"/>
    </xf>
    <xf numFmtId="0" fontId="0" fillId="0" borderId="1" xfId="0" applyBorder="1" applyAlignment="1">
      <alignment horizontal="left" vertical="center" wrapText="1"/>
    </xf>
    <xf numFmtId="165" fontId="2" fillId="0" borderId="14" xfId="1" applyNumberFormat="1" applyFont="1" applyBorder="1" applyAlignment="1">
      <alignment horizontal="center"/>
    </xf>
    <xf numFmtId="165" fontId="2" fillId="0" borderId="10" xfId="1" applyNumberFormat="1" applyFont="1" applyBorder="1" applyAlignment="1">
      <alignment horizontal="center"/>
    </xf>
    <xf numFmtId="0" fontId="2" fillId="0" borderId="1" xfId="0" applyFont="1" applyBorder="1" applyAlignment="1">
      <alignment horizontal="center"/>
    </xf>
    <xf numFmtId="0" fontId="14" fillId="0" borderId="11" xfId="0" applyFont="1" applyBorder="1" applyAlignment="1">
      <alignment horizontal="center" vertical="center" wrapText="1" readingOrder="1"/>
    </xf>
    <xf numFmtId="0" fontId="14" fillId="0" borderId="6" xfId="0" applyFont="1" applyBorder="1" applyAlignment="1">
      <alignment horizontal="center" vertical="center" wrapText="1" readingOrder="1"/>
    </xf>
    <xf numFmtId="0" fontId="12" fillId="0" borderId="7" xfId="0" applyFont="1" applyBorder="1" applyAlignment="1">
      <alignment horizontal="center" vertical="center" wrapText="1" readingOrder="1"/>
    </xf>
    <xf numFmtId="0" fontId="12" fillId="0" borderId="11" xfId="0" applyFont="1" applyBorder="1" applyAlignment="1">
      <alignment horizontal="center" vertical="center" wrapText="1" readingOrder="1"/>
    </xf>
    <xf numFmtId="0" fontId="12" fillId="0" borderId="6" xfId="0" applyFont="1" applyBorder="1" applyAlignment="1">
      <alignment horizontal="center" vertical="center" wrapText="1" readingOrder="1"/>
    </xf>
    <xf numFmtId="165" fontId="15" fillId="0" borderId="0" xfId="0" applyNumberFormat="1" applyFont="1" applyAlignment="1">
      <alignment horizontal="right" vertical="center" wrapText="1" readingOrder="1"/>
    </xf>
    <xf numFmtId="0" fontId="14" fillId="0" borderId="11" xfId="0" applyFont="1" applyBorder="1" applyAlignment="1">
      <alignment horizontal="center" vertical="center" readingOrder="1"/>
    </xf>
    <xf numFmtId="0" fontId="14" fillId="0" borderId="6" xfId="0" applyFont="1" applyBorder="1" applyAlignment="1">
      <alignment horizontal="center" vertical="center" readingOrder="1"/>
    </xf>
    <xf numFmtId="0" fontId="10" fillId="0" borderId="11" xfId="0" applyFont="1" applyBorder="1" applyAlignment="1">
      <alignment horizontal="center" vertical="center"/>
    </xf>
    <xf numFmtId="0" fontId="10" fillId="0" borderId="6" xfId="0" applyFont="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8">
    <dxf>
      <fill>
        <patternFill>
          <bgColor rgb="FFFFFFCC"/>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006100"/>
      </font>
      <fill>
        <patternFill patternType="none">
          <bgColor auto="1"/>
        </patternFill>
      </fill>
    </dxf>
    <dxf>
      <font>
        <color rgb="FF9C0006"/>
      </font>
      <fill>
        <patternFill patternType="none">
          <bgColor auto="1"/>
        </patternFill>
      </fill>
    </dxf>
    <dxf>
      <fill>
        <patternFill>
          <bgColor theme="9" tint="0.79998168889431442"/>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2.calrecycle.ca.gov/RecyclingDisposalReporting/Reports/JurisdictionDisposalAndBeneficial" TargetMode="External"/><Relationship Id="rId2" Type="http://schemas.openxmlformats.org/officeDocument/2006/relationships/hyperlink" Target="https://dof.ca.gov/wp-content/uploads/sites/352/2023/07/P2A_County_Total.xlsx" TargetMode="External"/><Relationship Id="rId1" Type="http://schemas.openxmlformats.org/officeDocument/2006/relationships/hyperlink" Target="https://dof.ca.gov/wp-content/uploads/sites/352/Forecasting/Demographics/Documents/E-5_2024_InternetVersion.xlsx" TargetMode="External"/><Relationship Id="rId6" Type="http://schemas.openxmlformats.org/officeDocument/2006/relationships/hyperlink" Target="https://bacwa.org/committees/biosolids/" TargetMode="External"/><Relationship Id="rId5" Type="http://schemas.openxmlformats.org/officeDocument/2006/relationships/hyperlink" Target="https://bacwa.org/committees/biosolids/" TargetMode="External"/><Relationship Id="rId4" Type="http://schemas.openxmlformats.org/officeDocument/2006/relationships/hyperlink" Target="https://www.stopwaste.org/resource/alameda-county-2024-waste-characterization-study"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epa.gov/smm/volume-weight-conversion-factors-solid-waste" TargetMode="External"/><Relationship Id="rId2" Type="http://schemas.openxmlformats.org/officeDocument/2006/relationships/hyperlink" Target="https://www.epa.gov/smm/volume-weight-conversion-factors-solid-waste" TargetMode="External"/><Relationship Id="rId1" Type="http://schemas.openxmlformats.org/officeDocument/2006/relationships/hyperlink" Target="https://www.epa.gov/smm/volume-weight-conversion-factors-solid-waste" TargetMode="External"/><Relationship Id="rId4"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2.calrecycle.ca.gov/Docs/Web/119889"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I22"/>
  <sheetViews>
    <sheetView zoomScale="120" zoomScaleNormal="120" workbookViewId="0">
      <pane xSplit="1" ySplit="1" topLeftCell="B2" activePane="bottomRight" state="frozen"/>
      <selection pane="topRight" activeCell="B1" sqref="B1"/>
      <selection pane="bottomLeft" activeCell="A2" sqref="A2"/>
      <selection pane="bottomRight" activeCell="U22" sqref="U22"/>
    </sheetView>
  </sheetViews>
  <sheetFormatPr defaultRowHeight="15" x14ac:dyDescent="0.25"/>
  <cols>
    <col min="1" max="1" width="15.7109375" bestFit="1" customWidth="1"/>
    <col min="2" max="2" width="12.140625" customWidth="1"/>
    <col min="3" max="4" width="13" customWidth="1"/>
    <col min="5" max="5" width="13" bestFit="1" customWidth="1"/>
    <col min="6" max="6" width="13.42578125" customWidth="1"/>
    <col min="7" max="11" width="12.140625" customWidth="1"/>
    <col min="12" max="14" width="14" customWidth="1"/>
    <col min="15" max="15" width="9.28515625" customWidth="1"/>
    <col min="16" max="16" width="14.42578125" style="1" customWidth="1"/>
    <col min="17" max="17" width="14.28515625" customWidth="1"/>
    <col min="18" max="18" width="13.28515625" customWidth="1"/>
    <col min="19" max="19" width="14.28515625" customWidth="1"/>
    <col min="20" max="20" width="9.85546875" bestFit="1" customWidth="1"/>
    <col min="21" max="21" width="11.85546875" customWidth="1"/>
    <col min="22" max="22" width="14.28515625" customWidth="1"/>
    <col min="23" max="23" width="13.28515625" hidden="1" customWidth="1"/>
    <col min="24" max="24" width="13.28515625" customWidth="1"/>
    <col min="25" max="31" width="10.7109375" style="4" customWidth="1"/>
    <col min="32" max="32" width="10.7109375" customWidth="1"/>
    <col min="33" max="33" width="12.28515625" customWidth="1"/>
    <col min="34" max="34" width="18.140625" customWidth="1"/>
    <col min="35" max="35" width="16.140625" bestFit="1" customWidth="1"/>
  </cols>
  <sheetData>
    <row r="1" spans="1:35" s="6" customFormat="1" ht="90" x14ac:dyDescent="0.25">
      <c r="A1" s="6" t="s">
        <v>0</v>
      </c>
      <c r="B1" s="7" t="s">
        <v>51</v>
      </c>
      <c r="C1" s="7" t="s">
        <v>45</v>
      </c>
      <c r="D1" s="7" t="s">
        <v>35</v>
      </c>
      <c r="E1" s="7" t="s">
        <v>34</v>
      </c>
      <c r="F1" s="7" t="s">
        <v>20</v>
      </c>
      <c r="G1" s="7" t="s">
        <v>21</v>
      </c>
      <c r="H1" s="7" t="s">
        <v>53</v>
      </c>
      <c r="I1" s="7" t="s">
        <v>54</v>
      </c>
      <c r="J1" s="7" t="s">
        <v>55</v>
      </c>
      <c r="K1" s="7" t="s">
        <v>56</v>
      </c>
      <c r="L1" s="7" t="s">
        <v>57</v>
      </c>
      <c r="M1" s="7" t="s">
        <v>59</v>
      </c>
      <c r="N1" s="7" t="s">
        <v>58</v>
      </c>
      <c r="O1" s="7" t="s">
        <v>44</v>
      </c>
      <c r="P1" s="8" t="s">
        <v>18</v>
      </c>
      <c r="Q1" s="7" t="s">
        <v>19</v>
      </c>
      <c r="R1" s="7" t="s">
        <v>23</v>
      </c>
      <c r="S1" s="7" t="s">
        <v>22</v>
      </c>
      <c r="T1" s="7" t="s">
        <v>36</v>
      </c>
      <c r="U1" s="7" t="s">
        <v>37</v>
      </c>
      <c r="V1" s="10" t="s">
        <v>24</v>
      </c>
      <c r="W1" s="7" t="s">
        <v>25</v>
      </c>
      <c r="X1" s="7" t="s">
        <v>29</v>
      </c>
      <c r="Y1" s="12" t="s">
        <v>27</v>
      </c>
      <c r="Z1" s="9" t="s">
        <v>50</v>
      </c>
      <c r="AA1" s="9" t="s">
        <v>28</v>
      </c>
      <c r="AB1" s="9" t="s">
        <v>47</v>
      </c>
      <c r="AC1" s="9" t="s">
        <v>49</v>
      </c>
      <c r="AD1" s="9" t="s">
        <v>46</v>
      </c>
      <c r="AE1" s="9" t="s">
        <v>48</v>
      </c>
      <c r="AF1" s="7" t="s">
        <v>30</v>
      </c>
      <c r="AG1" s="7" t="s">
        <v>31</v>
      </c>
      <c r="AH1" s="11" t="s">
        <v>32</v>
      </c>
      <c r="AI1" s="7" t="s">
        <v>38</v>
      </c>
    </row>
    <row r="2" spans="1:35" x14ac:dyDescent="0.25">
      <c r="A2" t="s">
        <v>1</v>
      </c>
      <c r="B2" s="4">
        <v>79177</v>
      </c>
      <c r="C2" s="3">
        <v>0.08</v>
      </c>
      <c r="D2" s="4">
        <f t="shared" ref="D2:D18" si="0">B2*C2</f>
        <v>6334.16</v>
      </c>
      <c r="E2" s="3">
        <v>0.57999999999999996</v>
      </c>
      <c r="F2" s="4">
        <f t="shared" ref="F2:F18" si="1">B2*C2*E2</f>
        <v>3673.8127999999997</v>
      </c>
      <c r="G2" s="4">
        <f t="shared" ref="G2:G18" si="2">F2/0.4</f>
        <v>9184.5319999999992</v>
      </c>
      <c r="H2" s="4">
        <f>G2/365</f>
        <v>25.163101369863011</v>
      </c>
      <c r="I2" s="4">
        <f>Y2/H2</f>
        <v>0</v>
      </c>
      <c r="J2" s="4">
        <f>365-I2</f>
        <v>365</v>
      </c>
      <c r="K2" s="3">
        <f>J2*500</f>
        <v>182500</v>
      </c>
      <c r="L2" s="3">
        <f>J2*10000</f>
        <v>3650000</v>
      </c>
      <c r="M2" s="14">
        <f>K2-Q2</f>
        <v>-735953.2</v>
      </c>
      <c r="N2" s="14">
        <f>L2-Q2</f>
        <v>2731546.8</v>
      </c>
      <c r="O2" s="3">
        <v>25</v>
      </c>
      <c r="P2" s="1">
        <f t="shared" ref="P2:P18" si="3">G2*O2</f>
        <v>229613.3</v>
      </c>
      <c r="Q2" s="1">
        <f t="shared" ref="Q2:Q3" si="4">G2*100</f>
        <v>918453.2</v>
      </c>
      <c r="R2" s="4">
        <f t="shared" ref="R2:R18" si="5">G2*(1000/1.5)</f>
        <v>6123021.3333333321</v>
      </c>
      <c r="S2" s="4">
        <f t="shared" ref="S2:S18" si="6">G2*(1000/4)</f>
        <v>2296133</v>
      </c>
      <c r="T2" s="5">
        <f t="shared" ref="T2:U18" si="7">R2/43560</f>
        <v>140.56522803795528</v>
      </c>
      <c r="U2" s="5">
        <f t="shared" si="7"/>
        <v>52.71196051423324</v>
      </c>
      <c r="X2" s="5">
        <f t="shared" ref="X2:X17" si="8">O2*Y2</f>
        <v>0</v>
      </c>
      <c r="Z2" s="4">
        <f t="shared" ref="Z2:Z15" si="9">Y2/65.34</f>
        <v>0</v>
      </c>
      <c r="AF2">
        <v>19</v>
      </c>
      <c r="AG2" s="4">
        <f t="shared" ref="AG2:AG18" si="10">B2*C2*AF2</f>
        <v>120349.04</v>
      </c>
    </row>
    <row r="3" spans="1:35" x14ac:dyDescent="0.25">
      <c r="A3" t="s">
        <v>2</v>
      </c>
      <c r="B3" s="4">
        <f>148982-B6-B14</f>
        <v>64142</v>
      </c>
      <c r="C3" s="3">
        <v>0.08</v>
      </c>
      <c r="D3" s="4">
        <f t="shared" si="0"/>
        <v>5131.3599999999997</v>
      </c>
      <c r="E3" s="3">
        <v>0.57999999999999996</v>
      </c>
      <c r="F3" s="4">
        <f t="shared" si="1"/>
        <v>2976.1887999999994</v>
      </c>
      <c r="G3" s="4">
        <f t="shared" si="2"/>
        <v>7440.4719999999979</v>
      </c>
      <c r="H3" s="4">
        <f t="shared" ref="H3:H18" si="11">G3/365</f>
        <v>20.384854794520542</v>
      </c>
      <c r="I3" s="4">
        <f>Y3/H3</f>
        <v>147.16808288506431</v>
      </c>
      <c r="J3" s="4">
        <f>365-I3</f>
        <v>217.83191711493569</v>
      </c>
      <c r="K3" s="3">
        <f>J3*500</f>
        <v>108915.95855746785</v>
      </c>
      <c r="L3" s="3">
        <f>J3*10000</f>
        <v>2178319.1711493568</v>
      </c>
      <c r="M3" s="14">
        <f t="shared" ref="M3:M18" si="12">K3-Q3</f>
        <v>-635131.24144253205</v>
      </c>
      <c r="N3" s="14">
        <f t="shared" ref="N3:N18" si="13">L3-Q3</f>
        <v>1434271.971149357</v>
      </c>
      <c r="O3" s="3">
        <v>25</v>
      </c>
      <c r="P3" s="1">
        <f t="shared" si="3"/>
        <v>186011.79999999996</v>
      </c>
      <c r="Q3" s="1">
        <f t="shared" si="4"/>
        <v>744047.19999999984</v>
      </c>
      <c r="R3" s="4">
        <f t="shared" si="5"/>
        <v>4960314.6666666651</v>
      </c>
      <c r="S3" s="4">
        <f t="shared" si="6"/>
        <v>1860117.9999999995</v>
      </c>
      <c r="T3" s="5">
        <f t="shared" si="7"/>
        <v>113.87315580042849</v>
      </c>
      <c r="U3" s="5">
        <f t="shared" si="7"/>
        <v>42.702433425160685</v>
      </c>
      <c r="X3" s="5">
        <f t="shared" si="8"/>
        <v>75000</v>
      </c>
      <c r="Y3" s="4">
        <v>3000</v>
      </c>
      <c r="Z3" s="4">
        <f t="shared" si="9"/>
        <v>45.913682277318635</v>
      </c>
      <c r="AF3">
        <v>19</v>
      </c>
      <c r="AG3" s="4">
        <f t="shared" si="10"/>
        <v>97495.84</v>
      </c>
      <c r="AI3" t="s">
        <v>33</v>
      </c>
    </row>
    <row r="4" spans="1:35" x14ac:dyDescent="0.25">
      <c r="A4" t="s">
        <v>3</v>
      </c>
      <c r="B4" s="4">
        <v>18646</v>
      </c>
      <c r="C4" s="3">
        <v>0.08</v>
      </c>
      <c r="D4" s="4">
        <f t="shared" si="0"/>
        <v>1491.68</v>
      </c>
      <c r="E4" s="3">
        <v>0.57999999999999996</v>
      </c>
      <c r="F4" s="4">
        <f t="shared" si="1"/>
        <v>865.17439999999999</v>
      </c>
      <c r="G4" s="4">
        <f t="shared" si="2"/>
        <v>2162.9359999999997</v>
      </c>
      <c r="H4" s="4">
        <f t="shared" si="11"/>
        <v>5.9258520547945199</v>
      </c>
      <c r="I4" s="4">
        <f t="shared" ref="I4:I18" si="14">Y4/H4</f>
        <v>0</v>
      </c>
      <c r="J4" s="4">
        <f t="shared" ref="J4:J18" si="15">365-I4</f>
        <v>365</v>
      </c>
      <c r="K4" s="3">
        <f t="shared" ref="K4:K18" si="16">J4*500</f>
        <v>182500</v>
      </c>
      <c r="L4" s="3">
        <f t="shared" ref="L4:L18" si="17">J4*10000</f>
        <v>3650000</v>
      </c>
      <c r="M4" s="14">
        <f t="shared" si="12"/>
        <v>85167.880000000019</v>
      </c>
      <c r="N4" s="14">
        <f t="shared" si="13"/>
        <v>3552667.88</v>
      </c>
      <c r="O4" s="3">
        <v>25</v>
      </c>
      <c r="P4" s="1">
        <f t="shared" si="3"/>
        <v>54073.399999999994</v>
      </c>
      <c r="Q4" s="1">
        <f>G4*45</f>
        <v>97332.119999999981</v>
      </c>
      <c r="R4" s="4">
        <f t="shared" si="5"/>
        <v>1441957.333333333</v>
      </c>
      <c r="S4" s="4">
        <f t="shared" si="6"/>
        <v>540733.99999999988</v>
      </c>
      <c r="T4" s="5">
        <f t="shared" si="7"/>
        <v>33.102785430058148</v>
      </c>
      <c r="U4" s="5">
        <f t="shared" si="7"/>
        <v>12.413544536271806</v>
      </c>
      <c r="X4" s="5">
        <f t="shared" si="8"/>
        <v>0</v>
      </c>
      <c r="Z4" s="4">
        <f t="shared" si="9"/>
        <v>0</v>
      </c>
      <c r="AF4">
        <v>19</v>
      </c>
      <c r="AG4" s="4">
        <f t="shared" si="10"/>
        <v>28341.920000000002</v>
      </c>
    </row>
    <row r="5" spans="1:35" x14ac:dyDescent="0.25">
      <c r="A5" t="s">
        <v>4</v>
      </c>
      <c r="B5" s="4">
        <v>120700</v>
      </c>
      <c r="C5" s="3">
        <v>0.08</v>
      </c>
      <c r="D5" s="4">
        <f t="shared" si="0"/>
        <v>9656</v>
      </c>
      <c r="E5" s="3">
        <v>0.57999999999999996</v>
      </c>
      <c r="F5" s="4">
        <f t="shared" si="1"/>
        <v>5600.48</v>
      </c>
      <c r="G5" s="4">
        <f t="shared" si="2"/>
        <v>14001.199999999999</v>
      </c>
      <c r="H5" s="4">
        <f t="shared" si="11"/>
        <v>38.359452054794517</v>
      </c>
      <c r="I5" s="4">
        <f t="shared" si="14"/>
        <v>0</v>
      </c>
      <c r="J5" s="4">
        <f t="shared" si="15"/>
        <v>365</v>
      </c>
      <c r="K5" s="3">
        <f t="shared" si="16"/>
        <v>182500</v>
      </c>
      <c r="L5" s="3">
        <f t="shared" si="17"/>
        <v>3650000</v>
      </c>
      <c r="M5" s="14">
        <f t="shared" si="12"/>
        <v>-447554</v>
      </c>
      <c r="N5" s="14">
        <f t="shared" si="13"/>
        <v>3019946</v>
      </c>
      <c r="O5" s="3">
        <v>25</v>
      </c>
      <c r="P5" s="1">
        <f t="shared" si="3"/>
        <v>350030</v>
      </c>
      <c r="Q5" s="1">
        <f t="shared" ref="Q5:Q18" si="18">G5*45</f>
        <v>630054</v>
      </c>
      <c r="R5" s="4">
        <f t="shared" si="5"/>
        <v>9334133.3333333321</v>
      </c>
      <c r="S5" s="4">
        <f t="shared" si="6"/>
        <v>3500299.9999999995</v>
      </c>
      <c r="T5" s="5">
        <f t="shared" si="7"/>
        <v>214.2822161003979</v>
      </c>
      <c r="U5" s="5">
        <f t="shared" si="7"/>
        <v>80.35583103764921</v>
      </c>
      <c r="X5" s="5">
        <f t="shared" si="8"/>
        <v>0</v>
      </c>
      <c r="Z5" s="4">
        <f t="shared" si="9"/>
        <v>0</v>
      </c>
      <c r="AF5">
        <v>19</v>
      </c>
      <c r="AG5" s="4">
        <f t="shared" si="10"/>
        <v>183464</v>
      </c>
    </row>
    <row r="6" spans="1:35" x14ac:dyDescent="0.25">
      <c r="A6" s="52" t="s">
        <v>5</v>
      </c>
      <c r="B6" s="4">
        <v>61388</v>
      </c>
      <c r="C6" s="3">
        <v>0.08</v>
      </c>
      <c r="D6" s="4">
        <f t="shared" si="0"/>
        <v>4911.04</v>
      </c>
      <c r="E6" s="3">
        <v>0.57999999999999996</v>
      </c>
      <c r="F6" s="4">
        <f t="shared" si="1"/>
        <v>2848.4031999999997</v>
      </c>
      <c r="G6" s="4">
        <f t="shared" si="2"/>
        <v>7121.0079999999989</v>
      </c>
      <c r="H6" s="4">
        <f t="shared" si="11"/>
        <v>19.509610958904105</v>
      </c>
      <c r="I6" s="4">
        <f t="shared" si="14"/>
        <v>0</v>
      </c>
      <c r="J6" s="4">
        <f t="shared" si="15"/>
        <v>365</v>
      </c>
      <c r="K6" s="3">
        <f t="shared" si="16"/>
        <v>182500</v>
      </c>
      <c r="L6" s="3">
        <f t="shared" si="17"/>
        <v>3650000</v>
      </c>
      <c r="M6" s="14">
        <f t="shared" si="12"/>
        <v>-137945.35999999993</v>
      </c>
      <c r="N6" s="14">
        <f t="shared" si="13"/>
        <v>3329554.64</v>
      </c>
      <c r="O6" s="3">
        <v>25</v>
      </c>
      <c r="P6" s="1">
        <f t="shared" si="3"/>
        <v>178025.19999999998</v>
      </c>
      <c r="Q6" s="1">
        <f t="shared" si="18"/>
        <v>320445.35999999993</v>
      </c>
      <c r="R6" s="4">
        <f t="shared" si="5"/>
        <v>4747338.666666666</v>
      </c>
      <c r="S6" s="4">
        <f t="shared" si="6"/>
        <v>1780251.9999999998</v>
      </c>
      <c r="T6" s="5">
        <f t="shared" si="7"/>
        <v>108.98389960208141</v>
      </c>
      <c r="U6" s="5">
        <f t="shared" si="7"/>
        <v>40.868962350780528</v>
      </c>
      <c r="X6" s="5">
        <f t="shared" si="8"/>
        <v>0</v>
      </c>
      <c r="Z6" s="4">
        <f t="shared" si="9"/>
        <v>0</v>
      </c>
      <c r="AF6">
        <v>19</v>
      </c>
      <c r="AG6" s="4">
        <f t="shared" si="10"/>
        <v>93309.759999999995</v>
      </c>
    </row>
    <row r="7" spans="1:35" x14ac:dyDescent="0.25">
      <c r="A7" t="s">
        <v>7</v>
      </c>
      <c r="B7" s="4">
        <v>60487</v>
      </c>
      <c r="C7" s="3">
        <v>0.08</v>
      </c>
      <c r="D7" s="4">
        <f t="shared" si="0"/>
        <v>4838.96</v>
      </c>
      <c r="E7" s="3">
        <v>0.57999999999999996</v>
      </c>
      <c r="F7" s="4">
        <f t="shared" si="1"/>
        <v>2806.5967999999998</v>
      </c>
      <c r="G7" s="4">
        <f t="shared" si="2"/>
        <v>7016.4919999999993</v>
      </c>
      <c r="H7" s="4">
        <f t="shared" si="11"/>
        <v>19.223265753424656</v>
      </c>
      <c r="I7" s="4">
        <f t="shared" si="14"/>
        <v>0</v>
      </c>
      <c r="J7" s="4">
        <f t="shared" si="15"/>
        <v>365</v>
      </c>
      <c r="K7" s="3">
        <f t="shared" si="16"/>
        <v>182500</v>
      </c>
      <c r="L7" s="3">
        <f t="shared" si="17"/>
        <v>3650000</v>
      </c>
      <c r="M7" s="14">
        <f t="shared" si="12"/>
        <v>-133242.13999999996</v>
      </c>
      <c r="N7" s="14">
        <f t="shared" si="13"/>
        <v>3334257.86</v>
      </c>
      <c r="O7" s="3">
        <v>25</v>
      </c>
      <c r="P7" s="1">
        <f t="shared" si="3"/>
        <v>175412.3</v>
      </c>
      <c r="Q7" s="1">
        <f t="shared" si="18"/>
        <v>315742.13999999996</v>
      </c>
      <c r="R7" s="4">
        <f t="shared" si="5"/>
        <v>4677661.333333333</v>
      </c>
      <c r="S7" s="4">
        <f t="shared" si="6"/>
        <v>1754122.9999999998</v>
      </c>
      <c r="T7" s="5">
        <f t="shared" si="7"/>
        <v>107.38432812978267</v>
      </c>
      <c r="U7" s="5">
        <f t="shared" si="7"/>
        <v>40.269123048668497</v>
      </c>
      <c r="X7" s="5">
        <f t="shared" si="8"/>
        <v>0</v>
      </c>
      <c r="Z7" s="4">
        <f t="shared" si="9"/>
        <v>0</v>
      </c>
      <c r="AF7">
        <v>19</v>
      </c>
      <c r="AG7" s="4">
        <f t="shared" si="10"/>
        <v>91940.24</v>
      </c>
    </row>
    <row r="8" spans="1:35" x14ac:dyDescent="0.25">
      <c r="A8" t="s">
        <v>6</v>
      </c>
      <c r="B8" s="4">
        <v>11995</v>
      </c>
      <c r="C8" s="3">
        <v>0.08</v>
      </c>
      <c r="D8" s="4">
        <f t="shared" si="0"/>
        <v>959.6</v>
      </c>
      <c r="E8" s="3">
        <v>0.57999999999999996</v>
      </c>
      <c r="F8" s="4">
        <f t="shared" si="1"/>
        <v>556.56799999999998</v>
      </c>
      <c r="G8" s="4">
        <f t="shared" si="2"/>
        <v>1391.4199999999998</v>
      </c>
      <c r="H8" s="4">
        <f t="shared" si="11"/>
        <v>3.8121095890410954</v>
      </c>
      <c r="I8" s="4">
        <f t="shared" si="14"/>
        <v>0</v>
      </c>
      <c r="J8" s="4">
        <f t="shared" si="15"/>
        <v>365</v>
      </c>
      <c r="K8" s="3">
        <f t="shared" si="16"/>
        <v>182500</v>
      </c>
      <c r="L8" s="3">
        <f t="shared" si="17"/>
        <v>3650000</v>
      </c>
      <c r="M8" s="14">
        <f t="shared" si="12"/>
        <v>119886.1</v>
      </c>
      <c r="N8" s="14">
        <f t="shared" si="13"/>
        <v>3587386.1</v>
      </c>
      <c r="O8" s="3">
        <v>25</v>
      </c>
      <c r="P8" s="1">
        <f t="shared" si="3"/>
        <v>34785.499999999993</v>
      </c>
      <c r="Q8" s="1">
        <f t="shared" si="18"/>
        <v>62613.899999999994</v>
      </c>
      <c r="R8" s="4">
        <f t="shared" si="5"/>
        <v>927613.33333333314</v>
      </c>
      <c r="S8" s="4">
        <f t="shared" si="6"/>
        <v>347854.99999999994</v>
      </c>
      <c r="T8" s="5">
        <f t="shared" si="7"/>
        <v>21.295071931435562</v>
      </c>
      <c r="U8" s="5">
        <f t="shared" si="7"/>
        <v>7.985651974288337</v>
      </c>
      <c r="X8" s="5">
        <f t="shared" si="8"/>
        <v>0</v>
      </c>
      <c r="Z8" s="4">
        <f t="shared" si="9"/>
        <v>0</v>
      </c>
      <c r="AF8">
        <v>19</v>
      </c>
      <c r="AG8" s="4">
        <f t="shared" si="10"/>
        <v>18232.400000000001</v>
      </c>
    </row>
    <row r="9" spans="1:35" x14ac:dyDescent="0.25">
      <c r="A9" t="s">
        <v>13</v>
      </c>
      <c r="B9" s="4">
        <v>233893</v>
      </c>
      <c r="C9" s="3">
        <v>0.08</v>
      </c>
      <c r="D9" s="4">
        <f t="shared" si="0"/>
        <v>18711.439999999999</v>
      </c>
      <c r="E9" s="3">
        <v>0.57999999999999996</v>
      </c>
      <c r="F9" s="4">
        <f t="shared" si="1"/>
        <v>10852.635199999999</v>
      </c>
      <c r="G9" s="4">
        <f t="shared" si="2"/>
        <v>27131.587999999996</v>
      </c>
      <c r="H9" s="4">
        <f t="shared" si="11"/>
        <v>74.333117808219171</v>
      </c>
      <c r="I9" s="4">
        <f t="shared" si="14"/>
        <v>0</v>
      </c>
      <c r="J9" s="4">
        <f t="shared" si="15"/>
        <v>365</v>
      </c>
      <c r="K9" s="3">
        <f t="shared" si="16"/>
        <v>182500</v>
      </c>
      <c r="L9" s="3">
        <f t="shared" si="17"/>
        <v>3650000</v>
      </c>
      <c r="M9" s="14">
        <f t="shared" si="12"/>
        <v>-1038421.4599999997</v>
      </c>
      <c r="N9" s="14">
        <f t="shared" si="13"/>
        <v>2429078.54</v>
      </c>
      <c r="O9" s="3">
        <v>25</v>
      </c>
      <c r="P9" s="1">
        <f t="shared" si="3"/>
        <v>678289.7</v>
      </c>
      <c r="Q9" s="1">
        <f t="shared" si="18"/>
        <v>1220921.4599999997</v>
      </c>
      <c r="R9" s="4">
        <f t="shared" si="5"/>
        <v>18087725.333333328</v>
      </c>
      <c r="S9" s="4">
        <f t="shared" si="6"/>
        <v>6782896.9999999991</v>
      </c>
      <c r="T9" s="5">
        <f t="shared" si="7"/>
        <v>415.23703703703694</v>
      </c>
      <c r="U9" s="5">
        <f t="shared" si="7"/>
        <v>155.71388888888887</v>
      </c>
      <c r="X9" s="5">
        <f t="shared" si="8"/>
        <v>0</v>
      </c>
      <c r="Z9" s="4">
        <f t="shared" si="9"/>
        <v>0</v>
      </c>
      <c r="AF9">
        <v>19</v>
      </c>
      <c r="AG9" s="4">
        <f t="shared" si="10"/>
        <v>355517.36</v>
      </c>
    </row>
    <row r="10" spans="1:35" x14ac:dyDescent="0.25">
      <c r="A10" t="s">
        <v>10</v>
      </c>
      <c r="B10" s="4">
        <v>161455</v>
      </c>
      <c r="C10" s="3">
        <v>0.08</v>
      </c>
      <c r="D10" s="4">
        <f t="shared" si="0"/>
        <v>12916.4</v>
      </c>
      <c r="E10" s="3">
        <v>0.57999999999999996</v>
      </c>
      <c r="F10" s="4">
        <f t="shared" si="1"/>
        <v>7491.5119999999997</v>
      </c>
      <c r="G10" s="4">
        <f t="shared" si="2"/>
        <v>18728.78</v>
      </c>
      <c r="H10" s="4">
        <f t="shared" si="11"/>
        <v>51.311726027397256</v>
      </c>
      <c r="I10" s="4">
        <f t="shared" si="14"/>
        <v>0</v>
      </c>
      <c r="J10" s="4">
        <f t="shared" si="15"/>
        <v>365</v>
      </c>
      <c r="K10" s="3">
        <f t="shared" si="16"/>
        <v>182500</v>
      </c>
      <c r="L10" s="3">
        <f t="shared" si="17"/>
        <v>3650000</v>
      </c>
      <c r="M10" s="14">
        <f t="shared" si="12"/>
        <v>-660295.1</v>
      </c>
      <c r="N10" s="14">
        <f t="shared" si="13"/>
        <v>2807204.9</v>
      </c>
      <c r="O10" s="3">
        <v>25</v>
      </c>
      <c r="P10" s="1">
        <f t="shared" si="3"/>
        <v>468219.5</v>
      </c>
      <c r="Q10" s="1">
        <f t="shared" si="18"/>
        <v>842795.1</v>
      </c>
      <c r="R10" s="4">
        <f t="shared" si="5"/>
        <v>12485853.333333332</v>
      </c>
      <c r="S10" s="4">
        <f t="shared" si="6"/>
        <v>4682195</v>
      </c>
      <c r="T10" s="5">
        <f t="shared" si="7"/>
        <v>286.63575145393327</v>
      </c>
      <c r="U10" s="5">
        <f t="shared" si="7"/>
        <v>107.48840679522498</v>
      </c>
      <c r="X10" s="5">
        <f t="shared" si="8"/>
        <v>0</v>
      </c>
      <c r="Z10" s="4">
        <f t="shared" si="9"/>
        <v>0</v>
      </c>
      <c r="AF10">
        <v>19</v>
      </c>
      <c r="AG10" s="4">
        <f t="shared" si="10"/>
        <v>245411.6</v>
      </c>
    </row>
    <row r="11" spans="1:35" x14ac:dyDescent="0.25">
      <c r="A11" t="s">
        <v>9</v>
      </c>
      <c r="B11" s="4">
        <v>90454</v>
      </c>
      <c r="C11" s="3">
        <v>0.08</v>
      </c>
      <c r="D11" s="4">
        <f t="shared" si="0"/>
        <v>7236.32</v>
      </c>
      <c r="E11" s="3">
        <v>0.57999999999999996</v>
      </c>
      <c r="F11" s="4">
        <f t="shared" si="1"/>
        <v>4197.0655999999999</v>
      </c>
      <c r="G11" s="4">
        <f t="shared" si="2"/>
        <v>10492.663999999999</v>
      </c>
      <c r="H11" s="4">
        <f t="shared" si="11"/>
        <v>28.747024657534244</v>
      </c>
      <c r="I11" s="4">
        <f t="shared" si="14"/>
        <v>0</v>
      </c>
      <c r="J11" s="4">
        <f t="shared" si="15"/>
        <v>365</v>
      </c>
      <c r="K11" s="3">
        <f t="shared" si="16"/>
        <v>182500</v>
      </c>
      <c r="L11" s="3">
        <f t="shared" si="17"/>
        <v>3650000</v>
      </c>
      <c r="M11" s="14">
        <f t="shared" si="12"/>
        <v>-289669.87999999995</v>
      </c>
      <c r="N11" s="14">
        <f t="shared" si="13"/>
        <v>3177830.12</v>
      </c>
      <c r="O11" s="3">
        <v>25</v>
      </c>
      <c r="P11" s="1">
        <f t="shared" si="3"/>
        <v>262316.59999999998</v>
      </c>
      <c r="Q11" s="1">
        <f t="shared" si="18"/>
        <v>472169.87999999995</v>
      </c>
      <c r="R11" s="4">
        <f t="shared" si="5"/>
        <v>6995109.3333333321</v>
      </c>
      <c r="S11" s="4">
        <f t="shared" si="6"/>
        <v>2623165.9999999995</v>
      </c>
      <c r="T11" s="5">
        <f t="shared" si="7"/>
        <v>160.58561371288641</v>
      </c>
      <c r="U11" s="5">
        <f t="shared" si="7"/>
        <v>60.219605142332405</v>
      </c>
      <c r="X11" s="5">
        <f t="shared" si="8"/>
        <v>0</v>
      </c>
      <c r="Z11" s="4">
        <f t="shared" si="9"/>
        <v>0</v>
      </c>
      <c r="AF11">
        <v>19</v>
      </c>
      <c r="AG11" s="4">
        <f t="shared" si="10"/>
        <v>137490.07999999999</v>
      </c>
    </row>
    <row r="12" spans="1:35" x14ac:dyDescent="0.25">
      <c r="A12" s="52" t="s">
        <v>12</v>
      </c>
      <c r="B12" s="4">
        <v>45668</v>
      </c>
      <c r="C12" s="3">
        <v>0.08</v>
      </c>
      <c r="D12" s="4">
        <f t="shared" si="0"/>
        <v>3653.44</v>
      </c>
      <c r="E12" s="3">
        <v>0.57999999999999996</v>
      </c>
      <c r="F12" s="4">
        <f t="shared" si="1"/>
        <v>2118.9951999999998</v>
      </c>
      <c r="G12" s="4">
        <f t="shared" si="2"/>
        <v>5297.4879999999994</v>
      </c>
      <c r="H12" s="4">
        <f t="shared" si="11"/>
        <v>14.513665753424656</v>
      </c>
      <c r="I12" s="4">
        <f t="shared" si="14"/>
        <v>0</v>
      </c>
      <c r="J12" s="4">
        <f t="shared" si="15"/>
        <v>365</v>
      </c>
      <c r="K12" s="3">
        <f t="shared" si="16"/>
        <v>182500</v>
      </c>
      <c r="L12" s="3">
        <f t="shared" si="17"/>
        <v>3650000</v>
      </c>
      <c r="M12" s="14">
        <f t="shared" si="12"/>
        <v>-55886.959999999963</v>
      </c>
      <c r="N12" s="14">
        <f t="shared" si="13"/>
        <v>3411613.04</v>
      </c>
      <c r="O12" s="3">
        <v>25</v>
      </c>
      <c r="P12" s="1">
        <f t="shared" si="3"/>
        <v>132437.19999999998</v>
      </c>
      <c r="Q12" s="1">
        <f t="shared" si="18"/>
        <v>238386.95999999996</v>
      </c>
      <c r="R12" s="4">
        <f t="shared" si="5"/>
        <v>3531658.666666666</v>
      </c>
      <c r="S12" s="4">
        <f t="shared" si="6"/>
        <v>1324371.9999999998</v>
      </c>
      <c r="T12" s="5">
        <f t="shared" si="7"/>
        <v>81.07572696663604</v>
      </c>
      <c r="U12" s="5">
        <f t="shared" si="7"/>
        <v>30.403397612488515</v>
      </c>
      <c r="X12" s="5">
        <f t="shared" si="8"/>
        <v>0</v>
      </c>
      <c r="Z12" s="4">
        <f t="shared" si="9"/>
        <v>0</v>
      </c>
      <c r="AF12">
        <v>19</v>
      </c>
      <c r="AG12" s="4">
        <f t="shared" si="10"/>
        <v>69415.360000000001</v>
      </c>
    </row>
    <row r="13" spans="1:35" x14ac:dyDescent="0.25">
      <c r="A13" t="s">
        <v>14</v>
      </c>
      <c r="B13" s="4">
        <v>427503</v>
      </c>
      <c r="C13" s="3">
        <v>0.08</v>
      </c>
      <c r="D13" s="4">
        <f t="shared" si="0"/>
        <v>34200.239999999998</v>
      </c>
      <c r="E13" s="3">
        <v>0.57999999999999996</v>
      </c>
      <c r="F13" s="4">
        <f t="shared" si="1"/>
        <v>19836.139199999998</v>
      </c>
      <c r="G13" s="4">
        <f>D13*1.45</f>
        <v>49590.347999999998</v>
      </c>
      <c r="H13" s="4">
        <f t="shared" si="11"/>
        <v>135.86396712328767</v>
      </c>
      <c r="I13" s="4">
        <f t="shared" si="14"/>
        <v>6.9922880960625644</v>
      </c>
      <c r="J13" s="4">
        <f t="shared" si="15"/>
        <v>358.00771190393743</v>
      </c>
      <c r="K13" s="3">
        <f t="shared" si="16"/>
        <v>179003.85595196873</v>
      </c>
      <c r="L13" s="3">
        <f t="shared" si="17"/>
        <v>3580077.1190393744</v>
      </c>
      <c r="M13" s="14">
        <f t="shared" si="12"/>
        <v>-2052561.8040480313</v>
      </c>
      <c r="N13" s="14">
        <f t="shared" si="13"/>
        <v>1348511.4590393743</v>
      </c>
      <c r="O13" s="3">
        <v>25</v>
      </c>
      <c r="P13" s="1">
        <f t="shared" si="3"/>
        <v>1239758.7</v>
      </c>
      <c r="Q13" s="1">
        <f t="shared" si="18"/>
        <v>2231565.66</v>
      </c>
      <c r="R13" s="4">
        <f t="shared" si="5"/>
        <v>33060231.999999996</v>
      </c>
      <c r="S13" s="4">
        <f t="shared" si="6"/>
        <v>12397587</v>
      </c>
      <c r="T13" s="5">
        <f t="shared" si="7"/>
        <v>758.95849403122122</v>
      </c>
      <c r="U13" s="5">
        <f t="shared" si="7"/>
        <v>284.60943526170797</v>
      </c>
      <c r="X13" s="5">
        <f t="shared" si="8"/>
        <v>23750</v>
      </c>
      <c r="Y13" s="4">
        <v>950</v>
      </c>
      <c r="Z13" s="4">
        <f t="shared" si="9"/>
        <v>14.539332721150902</v>
      </c>
      <c r="AA13" s="4">
        <v>500</v>
      </c>
      <c r="AD13" s="4">
        <v>207</v>
      </c>
      <c r="AE13" s="4">
        <f>46560*207*4/1000</f>
        <v>38551.68</v>
      </c>
      <c r="AF13">
        <v>19</v>
      </c>
      <c r="AG13" s="4">
        <f t="shared" si="10"/>
        <v>649804.55999999994</v>
      </c>
      <c r="AI13" t="s">
        <v>26</v>
      </c>
    </row>
    <row r="14" spans="1:35" x14ac:dyDescent="0.25">
      <c r="A14" s="52" t="s">
        <v>16</v>
      </c>
      <c r="B14" s="4">
        <v>23452</v>
      </c>
      <c r="C14" s="3">
        <v>0.08</v>
      </c>
      <c r="D14" s="4">
        <f t="shared" si="0"/>
        <v>1876.16</v>
      </c>
      <c r="E14" s="3">
        <v>0.57999999999999996</v>
      </c>
      <c r="F14" s="4">
        <f t="shared" si="1"/>
        <v>1088.1728000000001</v>
      </c>
      <c r="G14" s="4">
        <f t="shared" si="2"/>
        <v>2720.4319999999998</v>
      </c>
      <c r="H14" s="4">
        <f t="shared" si="11"/>
        <v>7.4532383561643831</v>
      </c>
      <c r="I14" s="4">
        <f t="shared" si="14"/>
        <v>0</v>
      </c>
      <c r="J14" s="4">
        <f t="shared" si="15"/>
        <v>365</v>
      </c>
      <c r="K14" s="3">
        <f t="shared" si="16"/>
        <v>182500</v>
      </c>
      <c r="L14" s="3">
        <f t="shared" si="17"/>
        <v>3650000</v>
      </c>
      <c r="M14" s="14">
        <f t="shared" si="12"/>
        <v>60080.560000000012</v>
      </c>
      <c r="N14" s="14">
        <f t="shared" si="13"/>
        <v>3527580.56</v>
      </c>
      <c r="O14" s="3">
        <v>25</v>
      </c>
      <c r="P14" s="1">
        <f t="shared" si="3"/>
        <v>68010.799999999988</v>
      </c>
      <c r="Q14" s="1">
        <f t="shared" si="18"/>
        <v>122419.43999999999</v>
      </c>
      <c r="R14" s="4">
        <f t="shared" si="5"/>
        <v>1813621.333333333</v>
      </c>
      <c r="S14" s="4">
        <f t="shared" si="6"/>
        <v>680108</v>
      </c>
      <c r="T14" s="5">
        <f t="shared" si="7"/>
        <v>41.635016835016827</v>
      </c>
      <c r="U14" s="5">
        <f t="shared" si="7"/>
        <v>15.613131313131314</v>
      </c>
      <c r="X14" s="5">
        <f t="shared" si="8"/>
        <v>0</v>
      </c>
      <c r="Z14" s="4">
        <f t="shared" si="9"/>
        <v>0</v>
      </c>
      <c r="AF14">
        <v>19</v>
      </c>
      <c r="AG14" s="4">
        <f t="shared" si="10"/>
        <v>35647.040000000001</v>
      </c>
    </row>
    <row r="15" spans="1:35" x14ac:dyDescent="0.25">
      <c r="A15" s="52" t="s">
        <v>17</v>
      </c>
      <c r="B15" s="4">
        <v>11309</v>
      </c>
      <c r="C15" s="3">
        <v>0.08</v>
      </c>
      <c r="D15" s="4">
        <f t="shared" si="0"/>
        <v>904.72</v>
      </c>
      <c r="E15" s="3">
        <v>0.57999999999999996</v>
      </c>
      <c r="F15" s="4">
        <f t="shared" si="1"/>
        <v>524.73759999999993</v>
      </c>
      <c r="G15" s="4">
        <f t="shared" si="2"/>
        <v>1311.8439999999998</v>
      </c>
      <c r="H15" s="4">
        <f t="shared" si="11"/>
        <v>3.5940931506849312</v>
      </c>
      <c r="I15" s="4">
        <f t="shared" si="14"/>
        <v>0</v>
      </c>
      <c r="J15" s="4">
        <f t="shared" si="15"/>
        <v>365</v>
      </c>
      <c r="K15" s="3">
        <f t="shared" si="16"/>
        <v>182500</v>
      </c>
      <c r="L15" s="3">
        <f t="shared" si="17"/>
        <v>3650000</v>
      </c>
      <c r="M15" s="14">
        <f t="shared" si="12"/>
        <v>123467.02000000002</v>
      </c>
      <c r="N15" s="14">
        <f t="shared" si="13"/>
        <v>3590967.02</v>
      </c>
      <c r="O15" s="3">
        <v>25</v>
      </c>
      <c r="P15" s="1">
        <f t="shared" si="3"/>
        <v>32796.1</v>
      </c>
      <c r="Q15" s="1">
        <f t="shared" si="18"/>
        <v>59032.979999999989</v>
      </c>
      <c r="R15" s="4">
        <f t="shared" si="5"/>
        <v>874562.66666666651</v>
      </c>
      <c r="S15" s="4">
        <f t="shared" si="6"/>
        <v>327960.99999999994</v>
      </c>
      <c r="T15" s="5">
        <f t="shared" si="7"/>
        <v>20.07719620446893</v>
      </c>
      <c r="U15" s="5">
        <f t="shared" si="7"/>
        <v>7.5289485766758482</v>
      </c>
      <c r="X15" s="5">
        <f t="shared" si="8"/>
        <v>0</v>
      </c>
      <c r="Z15" s="4">
        <f t="shared" si="9"/>
        <v>0</v>
      </c>
      <c r="AF15">
        <v>19</v>
      </c>
      <c r="AG15" s="4">
        <f t="shared" si="10"/>
        <v>17189.68</v>
      </c>
    </row>
    <row r="16" spans="1:35" x14ac:dyDescent="0.25">
      <c r="A16" s="52" t="s">
        <v>8</v>
      </c>
      <c r="B16" s="4">
        <v>76748</v>
      </c>
      <c r="C16" s="3">
        <v>0.08</v>
      </c>
      <c r="D16" s="4">
        <f t="shared" si="0"/>
        <v>6139.84</v>
      </c>
      <c r="E16" s="3">
        <v>0.57999999999999996</v>
      </c>
      <c r="F16" s="4">
        <f t="shared" si="1"/>
        <v>3561.1071999999999</v>
      </c>
      <c r="G16" s="4">
        <f t="shared" si="2"/>
        <v>8902.768</v>
      </c>
      <c r="H16" s="4">
        <f t="shared" si="11"/>
        <v>24.391145205479454</v>
      </c>
      <c r="I16" s="4">
        <f t="shared" si="14"/>
        <v>61.49772744836212</v>
      </c>
      <c r="J16" s="4">
        <f t="shared" si="15"/>
        <v>303.50227255163787</v>
      </c>
      <c r="K16" s="3">
        <f t="shared" si="16"/>
        <v>151751.13627581895</v>
      </c>
      <c r="L16" s="3">
        <f t="shared" si="17"/>
        <v>3035022.7255163789</v>
      </c>
      <c r="M16" s="14">
        <f t="shared" si="12"/>
        <v>-248873.42372418105</v>
      </c>
      <c r="N16" s="14">
        <f t="shared" si="13"/>
        <v>2634398.1655163788</v>
      </c>
      <c r="O16" s="3">
        <v>20.3</v>
      </c>
      <c r="P16" s="1">
        <f t="shared" si="3"/>
        <v>180726.19040000002</v>
      </c>
      <c r="Q16" s="1">
        <f t="shared" si="18"/>
        <v>400624.56</v>
      </c>
      <c r="R16" s="4">
        <f t="shared" si="5"/>
        <v>5935178.666666666</v>
      </c>
      <c r="S16" s="4">
        <f t="shared" si="6"/>
        <v>2225692</v>
      </c>
      <c r="T16" s="5">
        <f t="shared" si="7"/>
        <v>136.25295378022651</v>
      </c>
      <c r="U16" s="5">
        <f t="shared" si="7"/>
        <v>51.09485766758494</v>
      </c>
      <c r="V16">
        <v>350</v>
      </c>
      <c r="W16">
        <v>1</v>
      </c>
      <c r="X16" s="5">
        <f t="shared" si="8"/>
        <v>30450</v>
      </c>
      <c r="Y16" s="4">
        <v>1500</v>
      </c>
      <c r="Z16" s="4">
        <f>Y16/65.34</f>
        <v>22.956841138659318</v>
      </c>
      <c r="AB16" s="4">
        <v>15.8</v>
      </c>
      <c r="AC16" s="4">
        <f>AB16*174.24</f>
        <v>2752.9920000000002</v>
      </c>
      <c r="AD16" s="4">
        <v>6.6</v>
      </c>
      <c r="AE16" s="4">
        <f>AD16*174.24</f>
        <v>1149.9839999999999</v>
      </c>
      <c r="AF16">
        <v>19</v>
      </c>
      <c r="AG16" s="4">
        <f t="shared" si="10"/>
        <v>116656.96000000001</v>
      </c>
    </row>
    <row r="17" spans="1:33" x14ac:dyDescent="0.25">
      <c r="A17" t="s">
        <v>15</v>
      </c>
      <c r="B17" s="4">
        <v>87376</v>
      </c>
      <c r="C17" s="3">
        <v>0.08</v>
      </c>
      <c r="D17" s="4">
        <f t="shared" si="0"/>
        <v>6990.08</v>
      </c>
      <c r="E17" s="3">
        <v>0.57999999999999996</v>
      </c>
      <c r="F17" s="4">
        <f t="shared" si="1"/>
        <v>4054.2463999999995</v>
      </c>
      <c r="G17" s="4">
        <f t="shared" si="2"/>
        <v>10135.615999999998</v>
      </c>
      <c r="H17" s="4">
        <f t="shared" si="11"/>
        <v>27.768810958904105</v>
      </c>
      <c r="I17" s="4">
        <f t="shared" si="14"/>
        <v>0</v>
      </c>
      <c r="J17" s="4">
        <f t="shared" si="15"/>
        <v>365</v>
      </c>
      <c r="K17" s="3">
        <f t="shared" si="16"/>
        <v>182500</v>
      </c>
      <c r="L17" s="3">
        <f t="shared" si="17"/>
        <v>3650000</v>
      </c>
      <c r="M17" s="14">
        <f t="shared" si="12"/>
        <v>-273602.71999999991</v>
      </c>
      <c r="N17" s="14">
        <f t="shared" si="13"/>
        <v>3193897.2800000003</v>
      </c>
      <c r="O17" s="3">
        <v>25</v>
      </c>
      <c r="P17" s="1">
        <f t="shared" si="3"/>
        <v>253390.39999999997</v>
      </c>
      <c r="Q17" s="1">
        <f t="shared" si="18"/>
        <v>456102.71999999991</v>
      </c>
      <c r="R17" s="4">
        <f t="shared" si="5"/>
        <v>6757077.3333333321</v>
      </c>
      <c r="S17" s="4">
        <f t="shared" si="6"/>
        <v>2533903.9999999995</v>
      </c>
      <c r="T17" s="5">
        <f t="shared" si="7"/>
        <v>155.12115090296905</v>
      </c>
      <c r="U17" s="5">
        <f t="shared" si="7"/>
        <v>58.170431588613397</v>
      </c>
      <c r="X17" s="5">
        <f t="shared" si="8"/>
        <v>0</v>
      </c>
      <c r="Z17" s="4">
        <f>Y17/65.34</f>
        <v>0</v>
      </c>
      <c r="AF17">
        <v>19</v>
      </c>
      <c r="AG17" s="4">
        <f t="shared" si="10"/>
        <v>132811.51999999999</v>
      </c>
    </row>
    <row r="18" spans="1:33" x14ac:dyDescent="0.25">
      <c r="A18" t="s">
        <v>11</v>
      </c>
      <c r="B18" s="4">
        <v>72975</v>
      </c>
      <c r="C18" s="3">
        <v>0.08</v>
      </c>
      <c r="D18" s="4">
        <f t="shared" si="0"/>
        <v>5838</v>
      </c>
      <c r="E18" s="3">
        <v>0.57999999999999996</v>
      </c>
      <c r="F18" s="4">
        <f t="shared" si="1"/>
        <v>3386.04</v>
      </c>
      <c r="G18" s="4">
        <f t="shared" si="2"/>
        <v>8465.0999999999985</v>
      </c>
      <c r="H18" s="4">
        <f t="shared" si="11"/>
        <v>23.192054794520544</v>
      </c>
      <c r="I18" s="4">
        <f t="shared" si="14"/>
        <v>30.182750351442987</v>
      </c>
      <c r="J18" s="4">
        <f t="shared" si="15"/>
        <v>334.81724964855704</v>
      </c>
      <c r="K18" s="3">
        <f t="shared" si="16"/>
        <v>167408.62482427852</v>
      </c>
      <c r="L18" s="3">
        <f t="shared" si="17"/>
        <v>3348172.4964855704</v>
      </c>
      <c r="M18" s="14">
        <f t="shared" si="12"/>
        <v>-213520.87517572142</v>
      </c>
      <c r="N18" s="14">
        <f t="shared" si="13"/>
        <v>2967242.9964855704</v>
      </c>
      <c r="O18" s="3">
        <v>25</v>
      </c>
      <c r="P18" s="1">
        <f t="shared" si="3"/>
        <v>211627.49999999997</v>
      </c>
      <c r="Q18" s="1">
        <f t="shared" si="18"/>
        <v>380929.49999999994</v>
      </c>
      <c r="R18" s="4">
        <f t="shared" si="5"/>
        <v>5643399.9999999991</v>
      </c>
      <c r="S18" s="4">
        <f t="shared" si="6"/>
        <v>2116274.9999999995</v>
      </c>
      <c r="T18" s="5">
        <f t="shared" si="7"/>
        <v>129.55463728190998</v>
      </c>
      <c r="U18" s="5">
        <f t="shared" si="7"/>
        <v>48.582988980716244</v>
      </c>
      <c r="Y18" s="4">
        <f>350+350</f>
        <v>700</v>
      </c>
      <c r="AF18">
        <v>19</v>
      </c>
      <c r="AG18" s="4">
        <f t="shared" si="10"/>
        <v>110922</v>
      </c>
    </row>
    <row r="19" spans="1:33" x14ac:dyDescent="0.25">
      <c r="B19" s="3"/>
      <c r="C19" s="3"/>
      <c r="D19" s="3">
        <f>SUM(D2:D18)</f>
        <v>131789.44</v>
      </c>
      <c r="E19" s="3"/>
      <c r="F19" s="3">
        <f>SUM(F2:F18)</f>
        <v>76437.875199999995</v>
      </c>
      <c r="G19" s="4">
        <f>SUM(G2:G18)</f>
        <v>191094.68800000002</v>
      </c>
      <c r="H19" s="4"/>
      <c r="I19" s="4"/>
      <c r="J19" s="4"/>
      <c r="K19" s="4"/>
      <c r="L19" s="4"/>
      <c r="M19" s="4"/>
      <c r="N19" s="4"/>
      <c r="O19" s="3"/>
      <c r="P19" s="1">
        <f>SUM(P2:P18)</f>
        <v>4735524.1904000007</v>
      </c>
      <c r="Q19" s="1">
        <f>SUM(Q2:Q18)</f>
        <v>9513636.1799999997</v>
      </c>
      <c r="R19" s="2"/>
      <c r="T19" s="5">
        <f>SUM(T2:T18)</f>
        <v>2924.6202632384452</v>
      </c>
      <c r="U19" s="5">
        <f>SUM(U2:U18)</f>
        <v>1096.7325987144168</v>
      </c>
    </row>
    <row r="20" spans="1:33" x14ac:dyDescent="0.25">
      <c r="G20" s="4" t="e">
        <f>#REF!</f>
        <v>#REF!</v>
      </c>
      <c r="H20" s="4"/>
      <c r="I20" s="4"/>
      <c r="J20" s="4"/>
      <c r="K20" s="4"/>
      <c r="L20" s="4"/>
      <c r="M20" s="4"/>
      <c r="N20" s="4"/>
      <c r="T20" s="5">
        <f>T19*2</f>
        <v>5849.2405264768904</v>
      </c>
    </row>
    <row r="21" spans="1:33" x14ac:dyDescent="0.25">
      <c r="A21" t="s">
        <v>52</v>
      </c>
      <c r="D21" s="5"/>
      <c r="G21" s="13" t="e">
        <f>G19-G20</f>
        <v>#REF!</v>
      </c>
      <c r="H21" s="13"/>
      <c r="I21" s="13"/>
      <c r="J21" s="13"/>
      <c r="K21" s="13"/>
      <c r="L21" s="13"/>
      <c r="M21" s="13"/>
      <c r="N21" s="13"/>
      <c r="P21" s="15"/>
    </row>
    <row r="22" spans="1:33" x14ac:dyDescent="0.25">
      <c r="A22" t="s">
        <v>60</v>
      </c>
    </row>
  </sheetData>
  <printOptions gridLines="1"/>
  <pageMargins left="0.7" right="0.7" top="0.75" bottom="0.75" header="0.3" footer="0.3"/>
  <pageSetup paperSize="3" scale="6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
  <sheetViews>
    <sheetView topLeftCell="B1" workbookViewId="0">
      <selection sqref="A1:XFD1048576"/>
    </sheetView>
  </sheetViews>
  <sheetFormatPr defaultRowHeight="15" x14ac:dyDescent="0.25"/>
  <cols>
    <col min="1" max="1" width="6.28515625" bestFit="1" customWidth="1"/>
    <col min="2" max="2" width="10" bestFit="1" customWidth="1"/>
    <col min="3" max="3" width="10.42578125" bestFit="1" customWidth="1"/>
    <col min="4" max="4" width="5.7109375" bestFit="1" customWidth="1"/>
    <col min="5" max="5" width="80.5703125" bestFit="1" customWidth="1"/>
    <col min="6" max="6" width="48.85546875" bestFit="1" customWidth="1"/>
    <col min="7" max="7" width="27.140625" bestFit="1" customWidth="1"/>
    <col min="8" max="8" width="30.5703125" bestFit="1" customWidth="1"/>
    <col min="9" max="9" width="43" bestFit="1" customWidth="1"/>
    <col min="10" max="10" width="26.140625" bestFit="1" customWidth="1"/>
    <col min="11" max="11" width="51.5703125" bestFit="1" customWidth="1"/>
    <col min="12" max="12" width="14.42578125" bestFit="1" customWidth="1"/>
  </cols>
  <sheetData>
    <row r="1" spans="1:12" ht="15.75" x14ac:dyDescent="0.25">
      <c r="A1" s="131" t="s">
        <v>216</v>
      </c>
      <c r="B1" s="132" t="s">
        <v>217</v>
      </c>
      <c r="C1" s="132" t="s">
        <v>218</v>
      </c>
      <c r="D1" s="132" t="s">
        <v>219</v>
      </c>
      <c r="E1" s="132" t="s">
        <v>220</v>
      </c>
      <c r="F1" s="132" t="s">
        <v>221</v>
      </c>
      <c r="G1" s="132" t="s">
        <v>222</v>
      </c>
      <c r="H1" s="132" t="s">
        <v>223</v>
      </c>
      <c r="I1" s="132" t="s">
        <v>224</v>
      </c>
      <c r="J1" s="132" t="s">
        <v>225</v>
      </c>
      <c r="K1" s="132" t="s">
        <v>226</v>
      </c>
      <c r="L1" s="133" t="s">
        <v>227</v>
      </c>
    </row>
  </sheetData>
  <conditionalFormatting sqref="A1">
    <cfRule type="dataBar" priority="1">
      <dataBar>
        <cfvo type="num" val="0"/>
        <cfvo type="num" val="1"/>
        <color theme="9"/>
      </dataBar>
      <extLst>
        <ext xmlns:x14="http://schemas.microsoft.com/office/spreadsheetml/2009/9/main" uri="{B025F937-C7B1-47D3-B67F-A62EFF666E3E}">
          <x14:id>{A85A81BE-6891-4978-8F75-BF221C4432C9}</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A85A81BE-6891-4978-8F75-BF221C4432C9}">
            <x14:dataBar minLength="0" maxLength="100" border="1" gradient="0">
              <x14:cfvo type="num">
                <xm:f>0</xm:f>
              </x14:cfvo>
              <x14:cfvo type="num">
                <xm:f>1</xm:f>
              </x14:cfvo>
              <x14:borderColor rgb="FF000000"/>
              <x14:negativeFillColor rgb="FFFF0000"/>
              <x14:axisColor rgb="FF000000"/>
            </x14:dataBar>
          </x14:cfRule>
          <xm:sqref>A1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E6"/>
  <sheetViews>
    <sheetView workbookViewId="0">
      <selection activeCell="B6" sqref="B6"/>
    </sheetView>
  </sheetViews>
  <sheetFormatPr defaultRowHeight="15" x14ac:dyDescent="0.25"/>
  <cols>
    <col min="1" max="1" width="12.5703125" bestFit="1" customWidth="1"/>
    <col min="3" max="3" width="15.85546875" customWidth="1"/>
  </cols>
  <sheetData>
    <row r="1" spans="1:5" x14ac:dyDescent="0.25">
      <c r="C1" t="s">
        <v>133</v>
      </c>
      <c r="E1" t="s">
        <v>137</v>
      </c>
    </row>
    <row r="2" spans="1:5" x14ac:dyDescent="0.25">
      <c r="A2" t="s">
        <v>128</v>
      </c>
      <c r="B2">
        <v>5131</v>
      </c>
    </row>
    <row r="3" spans="1:5" x14ac:dyDescent="0.25">
      <c r="A3" t="s">
        <v>129</v>
      </c>
      <c r="C3">
        <v>50</v>
      </c>
      <c r="D3" t="s">
        <v>134</v>
      </c>
      <c r="E3">
        <f>B2*C3</f>
        <v>256550</v>
      </c>
    </row>
    <row r="4" spans="1:5" x14ac:dyDescent="0.25">
      <c r="A4" t="s">
        <v>130</v>
      </c>
      <c r="C4">
        <v>60</v>
      </c>
      <c r="D4" t="s">
        <v>135</v>
      </c>
      <c r="E4">
        <f>B2*C4</f>
        <v>307860</v>
      </c>
    </row>
    <row r="5" spans="1:5" x14ac:dyDescent="0.25">
      <c r="A5" t="s">
        <v>131</v>
      </c>
    </row>
    <row r="6" spans="1:5" x14ac:dyDescent="0.25">
      <c r="A6" t="s">
        <v>132</v>
      </c>
      <c r="B6">
        <f>3000/650</f>
        <v>4.615384615384615</v>
      </c>
      <c r="C6">
        <v>65</v>
      </c>
      <c r="D6" t="s">
        <v>136</v>
      </c>
      <c r="E6">
        <f>B2*C6</f>
        <v>333515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D18"/>
  <sheetViews>
    <sheetView workbookViewId="0">
      <selection activeCell="D3" sqref="D3"/>
    </sheetView>
  </sheetViews>
  <sheetFormatPr defaultRowHeight="15" x14ac:dyDescent="0.25"/>
  <cols>
    <col min="2" max="2" width="29.140625" bestFit="1" customWidth="1"/>
    <col min="3" max="3" width="31.5703125" bestFit="1" customWidth="1"/>
    <col min="4" max="4" width="46" bestFit="1" customWidth="1"/>
  </cols>
  <sheetData>
    <row r="1" spans="1:4" x14ac:dyDescent="0.25">
      <c r="A1" s="6" t="s">
        <v>0</v>
      </c>
      <c r="B1" t="s">
        <v>39</v>
      </c>
      <c r="C1" t="s">
        <v>40</v>
      </c>
    </row>
    <row r="2" spans="1:4" x14ac:dyDescent="0.25">
      <c r="A2" t="s">
        <v>1</v>
      </c>
    </row>
    <row r="3" spans="1:4" x14ac:dyDescent="0.25">
      <c r="A3" t="s">
        <v>2</v>
      </c>
      <c r="B3" t="s">
        <v>42</v>
      </c>
      <c r="C3" t="s">
        <v>41</v>
      </c>
      <c r="D3" t="s">
        <v>43</v>
      </c>
    </row>
    <row r="4" spans="1:4" x14ac:dyDescent="0.25">
      <c r="A4" t="s">
        <v>3</v>
      </c>
    </row>
    <row r="5" spans="1:4" x14ac:dyDescent="0.25">
      <c r="A5" t="s">
        <v>4</v>
      </c>
    </row>
    <row r="6" spans="1:4" x14ac:dyDescent="0.25">
      <c r="A6" t="s">
        <v>5</v>
      </c>
    </row>
    <row r="7" spans="1:4" x14ac:dyDescent="0.25">
      <c r="A7" t="s">
        <v>6</v>
      </c>
    </row>
    <row r="8" spans="1:4" x14ac:dyDescent="0.25">
      <c r="A8" t="s">
        <v>7</v>
      </c>
    </row>
    <row r="9" spans="1:4" x14ac:dyDescent="0.25">
      <c r="A9" t="s">
        <v>8</v>
      </c>
    </row>
    <row r="10" spans="1:4" x14ac:dyDescent="0.25">
      <c r="A10" t="s">
        <v>9</v>
      </c>
    </row>
    <row r="11" spans="1:4" x14ac:dyDescent="0.25">
      <c r="A11" t="s">
        <v>10</v>
      </c>
    </row>
    <row r="12" spans="1:4" x14ac:dyDescent="0.25">
      <c r="A12" t="s">
        <v>11</v>
      </c>
    </row>
    <row r="13" spans="1:4" x14ac:dyDescent="0.25">
      <c r="A13" t="s">
        <v>12</v>
      </c>
    </row>
    <row r="14" spans="1:4" x14ac:dyDescent="0.25">
      <c r="A14" t="s">
        <v>13</v>
      </c>
    </row>
    <row r="15" spans="1:4" x14ac:dyDescent="0.25">
      <c r="A15" t="s">
        <v>14</v>
      </c>
    </row>
    <row r="16" spans="1:4" x14ac:dyDescent="0.25">
      <c r="A16" t="s">
        <v>15</v>
      </c>
    </row>
    <row r="17" spans="1:1" x14ac:dyDescent="0.25">
      <c r="A17" t="s">
        <v>16</v>
      </c>
    </row>
    <row r="18" spans="1:1" x14ac:dyDescent="0.25">
      <c r="A18" t="s">
        <v>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B8"/>
  <sheetViews>
    <sheetView zoomScale="80" zoomScaleNormal="80" workbookViewId="0">
      <selection activeCell="B8" sqref="B8"/>
    </sheetView>
  </sheetViews>
  <sheetFormatPr defaultRowHeight="15" x14ac:dyDescent="0.25"/>
  <cols>
    <col min="2" max="2" width="157.5703125" style="81" customWidth="1"/>
  </cols>
  <sheetData>
    <row r="1" spans="1:2" ht="92.25" x14ac:dyDescent="1.35">
      <c r="A1" s="80" t="s">
        <v>157</v>
      </c>
      <c r="B1" s="82"/>
    </row>
    <row r="2" spans="1:2" ht="84" customHeight="1" x14ac:dyDescent="0.25">
      <c r="B2" s="107" t="s">
        <v>158</v>
      </c>
    </row>
    <row r="3" spans="1:2" ht="58.5" customHeight="1" x14ac:dyDescent="0.25">
      <c r="B3" s="107" t="s">
        <v>159</v>
      </c>
    </row>
    <row r="4" spans="1:2" ht="84" customHeight="1" x14ac:dyDescent="0.25">
      <c r="B4" s="107" t="s">
        <v>364</v>
      </c>
    </row>
    <row r="5" spans="1:2" ht="117" customHeight="1" x14ac:dyDescent="0.25">
      <c r="B5" s="107" t="s">
        <v>161</v>
      </c>
    </row>
    <row r="6" spans="1:2" ht="84" customHeight="1" x14ac:dyDescent="0.25">
      <c r="B6" s="107" t="s">
        <v>363</v>
      </c>
    </row>
    <row r="8" spans="1:2" ht="30" x14ac:dyDescent="0.25">
      <c r="B8" s="81" t="s">
        <v>160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V20"/>
  <sheetViews>
    <sheetView topLeftCell="C1" workbookViewId="0">
      <selection activeCell="A11" sqref="A11:XFD11"/>
    </sheetView>
  </sheetViews>
  <sheetFormatPr defaultRowHeight="15" x14ac:dyDescent="0.25"/>
  <cols>
    <col min="1" max="1" width="15.7109375" style="6" bestFit="1" customWidth="1"/>
    <col min="2" max="3" width="11.5703125" style="4" bestFit="1" customWidth="1"/>
    <col min="4" max="7" width="13.28515625" style="4" bestFit="1" customWidth="1"/>
    <col min="8" max="8" width="12.5703125" customWidth="1"/>
    <col min="9" max="9" width="11.42578125" bestFit="1" customWidth="1"/>
    <col min="10" max="10" width="13.5703125" customWidth="1"/>
    <col min="12" max="12" width="10.5703125" bestFit="1" customWidth="1"/>
    <col min="13" max="13" width="11.28515625" customWidth="1"/>
    <col min="14" max="14" width="14.85546875" customWidth="1"/>
    <col min="15" max="15" width="14" customWidth="1"/>
    <col min="17" max="17" width="10" bestFit="1" customWidth="1"/>
    <col min="18" max="18" width="10.5703125" bestFit="1" customWidth="1"/>
    <col min="22" max="22" width="10" bestFit="1" customWidth="1"/>
  </cols>
  <sheetData>
    <row r="1" spans="1:22" s="6" customFormat="1" ht="31.5" customHeight="1" x14ac:dyDescent="0.25">
      <c r="C1" s="238" t="s">
        <v>175</v>
      </c>
      <c r="D1" s="238"/>
      <c r="E1" s="238"/>
      <c r="F1" s="238"/>
      <c r="G1" s="239"/>
      <c r="H1" s="240" t="s">
        <v>168</v>
      </c>
      <c r="I1" s="240"/>
      <c r="J1" s="240"/>
      <c r="K1" s="240"/>
      <c r="L1" s="240"/>
      <c r="M1" s="240" t="s">
        <v>169</v>
      </c>
      <c r="N1" s="240"/>
      <c r="O1" s="240"/>
      <c r="P1" s="240"/>
      <c r="Q1" s="240"/>
      <c r="R1" s="240" t="s">
        <v>170</v>
      </c>
      <c r="S1" s="240"/>
      <c r="T1" s="240"/>
      <c r="U1" s="240"/>
      <c r="V1" s="240"/>
    </row>
    <row r="2" spans="1:22" s="6" customFormat="1" ht="75" x14ac:dyDescent="0.25">
      <c r="B2" s="99">
        <v>2020</v>
      </c>
      <c r="C2" s="100">
        <v>2019</v>
      </c>
      <c r="D2" s="100">
        <v>2018</v>
      </c>
      <c r="E2" s="100">
        <v>2017</v>
      </c>
      <c r="F2" s="100">
        <v>2016</v>
      </c>
      <c r="G2" s="101" t="s">
        <v>162</v>
      </c>
      <c r="H2" s="95" t="s">
        <v>163</v>
      </c>
      <c r="I2" s="96" t="s">
        <v>164</v>
      </c>
      <c r="J2" s="96" t="s">
        <v>166</v>
      </c>
      <c r="K2" s="97" t="s">
        <v>165</v>
      </c>
      <c r="L2" s="98" t="s">
        <v>167</v>
      </c>
      <c r="M2" s="95" t="s">
        <v>163</v>
      </c>
      <c r="N2" s="96" t="s">
        <v>164</v>
      </c>
      <c r="O2" s="96" t="s">
        <v>166</v>
      </c>
      <c r="P2" s="97" t="s">
        <v>165</v>
      </c>
      <c r="Q2" s="98" t="s">
        <v>167</v>
      </c>
      <c r="R2" s="95" t="s">
        <v>163</v>
      </c>
      <c r="S2" s="96" t="s">
        <v>164</v>
      </c>
      <c r="T2" s="96" t="s">
        <v>166</v>
      </c>
      <c r="U2" s="97" t="s">
        <v>165</v>
      </c>
      <c r="V2" s="98" t="s">
        <v>167</v>
      </c>
    </row>
    <row r="3" spans="1:22" x14ac:dyDescent="0.25">
      <c r="A3" s="6" t="s">
        <v>1</v>
      </c>
      <c r="B3" s="4">
        <v>0</v>
      </c>
      <c r="C3" s="4">
        <v>0</v>
      </c>
      <c r="D3" s="103">
        <v>189631</v>
      </c>
      <c r="E3" s="103">
        <v>41342</v>
      </c>
      <c r="F3" s="103">
        <v>0</v>
      </c>
      <c r="G3" s="115">
        <f>SUM(B3:F3)/5</f>
        <v>46194.6</v>
      </c>
      <c r="H3" s="91">
        <f>G3*4/1000</f>
        <v>184.7784</v>
      </c>
      <c r="I3" s="13">
        <f>H3/2</f>
        <v>92.389200000000002</v>
      </c>
      <c r="J3" s="2">
        <f>I3/1.45</f>
        <v>63.716689655172416</v>
      </c>
      <c r="K3" s="85">
        <f>I3/'Calc Ref Sheet'!R3</f>
        <v>1154.865</v>
      </c>
      <c r="L3" s="86">
        <f>I3*20.3</f>
        <v>1875.5007600000001</v>
      </c>
      <c r="M3" s="84">
        <f>E3*4/1000</f>
        <v>165.36799999999999</v>
      </c>
      <c r="N3" s="13">
        <f>M3/2</f>
        <v>82.683999999999997</v>
      </c>
      <c r="O3" s="13">
        <f>N3/1.45</f>
        <v>57.023448275862066</v>
      </c>
      <c r="P3" s="85">
        <f>N3/'Calc Ref Sheet'!R3</f>
        <v>1033.55</v>
      </c>
      <c r="Q3" s="86">
        <f>N3*20.3</f>
        <v>1678.4852000000001</v>
      </c>
      <c r="R3" s="94">
        <f>D3*4/1000</f>
        <v>758.524</v>
      </c>
      <c r="S3" s="13">
        <f>R3/2</f>
        <v>379.262</v>
      </c>
      <c r="T3" s="13">
        <f>S3/1.45</f>
        <v>261.56</v>
      </c>
      <c r="U3" s="85">
        <f>S3/'Calc Ref Sheet'!R3</f>
        <v>4740.7749999999996</v>
      </c>
      <c r="V3" s="86">
        <f>S3*20.3</f>
        <v>7699.0186000000003</v>
      </c>
    </row>
    <row r="4" spans="1:22" x14ac:dyDescent="0.25">
      <c r="A4" s="6" t="s">
        <v>2</v>
      </c>
      <c r="B4" s="102">
        <v>10191</v>
      </c>
      <c r="C4" s="103">
        <v>165780</v>
      </c>
      <c r="D4" s="103">
        <v>45493</v>
      </c>
      <c r="E4" s="103">
        <v>18290</v>
      </c>
      <c r="F4" s="103">
        <v>33108</v>
      </c>
      <c r="G4" s="115">
        <f t="shared" ref="G4:G19" si="0">SUM(B4:F4)/5</f>
        <v>54572.4</v>
      </c>
      <c r="H4" s="91">
        <f t="shared" ref="H4:H19" si="1">G4*4/1000</f>
        <v>218.28960000000001</v>
      </c>
      <c r="I4" s="13">
        <f t="shared" ref="I4:I19" si="2">H4/2</f>
        <v>109.1448</v>
      </c>
      <c r="J4" s="2">
        <f t="shared" ref="J4:J19" si="3">I4/1.45</f>
        <v>75.272275862068966</v>
      </c>
      <c r="K4" s="85">
        <f>I4/'Calc Ref Sheet'!R4</f>
        <v>1364.31</v>
      </c>
      <c r="L4" s="86">
        <f t="shared" ref="L4:L19" si="4">I4*20.3</f>
        <v>2215.6394400000004</v>
      </c>
      <c r="M4" s="94">
        <f>B4*4/1000</f>
        <v>40.764000000000003</v>
      </c>
      <c r="N4" s="13">
        <f t="shared" ref="N4:N20" si="5">M4/2</f>
        <v>20.382000000000001</v>
      </c>
      <c r="O4" s="13">
        <f t="shared" ref="O4:O20" si="6">N4/1.45</f>
        <v>14.056551724137933</v>
      </c>
      <c r="P4" s="85">
        <f>N4/'Calc Ref Sheet'!R4</f>
        <v>254.77500000000001</v>
      </c>
      <c r="Q4" s="86">
        <f t="shared" ref="Q4:Q19" si="7">N4*20.3</f>
        <v>413.75460000000004</v>
      </c>
      <c r="R4" s="94">
        <f>C4*4/1000</f>
        <v>663.12</v>
      </c>
      <c r="S4" s="13">
        <f t="shared" ref="S4:S19" si="8">R4/2</f>
        <v>331.56</v>
      </c>
      <c r="T4" s="13">
        <f t="shared" ref="T4:T19" si="9">S4/1.45</f>
        <v>228.66206896551725</v>
      </c>
      <c r="U4" s="85">
        <f>S4/'Calc Ref Sheet'!R4</f>
        <v>4144.5</v>
      </c>
      <c r="V4" s="86">
        <f t="shared" ref="V4:V19" si="10">S4*20.3</f>
        <v>6730.6680000000006</v>
      </c>
    </row>
    <row r="5" spans="1:22" x14ac:dyDescent="0.25">
      <c r="A5" s="6" t="s">
        <v>3</v>
      </c>
      <c r="B5" s="4">
        <v>0</v>
      </c>
      <c r="C5" s="103">
        <v>0</v>
      </c>
      <c r="D5" s="103">
        <v>0</v>
      </c>
      <c r="E5" s="103">
        <v>10000</v>
      </c>
      <c r="F5" s="103">
        <v>0</v>
      </c>
      <c r="G5" s="115">
        <f t="shared" si="0"/>
        <v>2000</v>
      </c>
      <c r="H5" s="91">
        <f t="shared" si="1"/>
        <v>8</v>
      </c>
      <c r="I5" s="13">
        <f t="shared" si="2"/>
        <v>4</v>
      </c>
      <c r="J5" s="2">
        <f t="shared" si="3"/>
        <v>2.7586206896551726</v>
      </c>
      <c r="K5" s="85">
        <f>I5/'Calc Ref Sheet'!R5</f>
        <v>50</v>
      </c>
      <c r="L5" s="86">
        <f t="shared" si="4"/>
        <v>81.2</v>
      </c>
      <c r="M5" s="84">
        <f t="shared" ref="M5:M15" si="11">E5*4/1000</f>
        <v>40</v>
      </c>
      <c r="N5" s="13">
        <f t="shared" si="5"/>
        <v>20</v>
      </c>
      <c r="O5" s="13">
        <f t="shared" si="6"/>
        <v>13.793103448275863</v>
      </c>
      <c r="P5" s="85">
        <f>N5/'Calc Ref Sheet'!R5</f>
        <v>250</v>
      </c>
      <c r="Q5" s="86">
        <f t="shared" si="7"/>
        <v>406</v>
      </c>
      <c r="R5" s="84">
        <f>E5*4/1000</f>
        <v>40</v>
      </c>
      <c r="S5" s="13">
        <f t="shared" si="8"/>
        <v>20</v>
      </c>
      <c r="T5" s="13">
        <f t="shared" si="9"/>
        <v>13.793103448275863</v>
      </c>
      <c r="U5" s="85">
        <f>S5/'Calc Ref Sheet'!R5</f>
        <v>250</v>
      </c>
      <c r="V5" s="86">
        <f t="shared" si="10"/>
        <v>406</v>
      </c>
    </row>
    <row r="6" spans="1:22" x14ac:dyDescent="0.25">
      <c r="A6" s="6" t="s">
        <v>4</v>
      </c>
      <c r="B6" s="102">
        <v>46165</v>
      </c>
      <c r="C6" s="103">
        <v>0</v>
      </c>
      <c r="D6" s="103">
        <v>14223</v>
      </c>
      <c r="E6" s="103">
        <v>52557</v>
      </c>
      <c r="F6" s="103">
        <v>0</v>
      </c>
      <c r="G6" s="115">
        <f t="shared" si="0"/>
        <v>22589</v>
      </c>
      <c r="H6" s="91">
        <f t="shared" si="1"/>
        <v>90.355999999999995</v>
      </c>
      <c r="I6" s="13">
        <f t="shared" si="2"/>
        <v>45.177999999999997</v>
      </c>
      <c r="J6" s="2">
        <f t="shared" si="3"/>
        <v>31.157241379310342</v>
      </c>
      <c r="K6" s="85">
        <f>I6/'Calc Ref Sheet'!R6</f>
        <v>564.72499999999991</v>
      </c>
      <c r="L6" s="86">
        <f t="shared" si="4"/>
        <v>917.11339999999996</v>
      </c>
      <c r="M6" s="94">
        <f>D6*4/1000</f>
        <v>56.892000000000003</v>
      </c>
      <c r="N6" s="13">
        <f t="shared" si="5"/>
        <v>28.446000000000002</v>
      </c>
      <c r="O6" s="13">
        <f t="shared" si="6"/>
        <v>19.617931034482762</v>
      </c>
      <c r="P6" s="85">
        <f>N6/'Calc Ref Sheet'!R6</f>
        <v>355.57499999999999</v>
      </c>
      <c r="Q6" s="86">
        <f t="shared" si="7"/>
        <v>577.4538</v>
      </c>
      <c r="R6" s="94">
        <f>E6*4/1000</f>
        <v>210.22800000000001</v>
      </c>
      <c r="S6" s="13">
        <f t="shared" si="8"/>
        <v>105.114</v>
      </c>
      <c r="T6" s="13">
        <f t="shared" si="9"/>
        <v>72.492413793103452</v>
      </c>
      <c r="U6" s="85">
        <f>S6/'Calc Ref Sheet'!R6</f>
        <v>1313.925</v>
      </c>
      <c r="V6" s="86">
        <f t="shared" si="10"/>
        <v>2133.8142000000003</v>
      </c>
    </row>
    <row r="7" spans="1:22" x14ac:dyDescent="0.25">
      <c r="A7" s="116" t="s">
        <v>187</v>
      </c>
      <c r="B7" s="102"/>
      <c r="C7" s="103"/>
      <c r="D7" s="103"/>
      <c r="E7" s="103"/>
      <c r="F7" s="103"/>
      <c r="G7" s="115">
        <f t="shared" si="0"/>
        <v>0</v>
      </c>
      <c r="H7" s="91">
        <f t="shared" si="1"/>
        <v>0</v>
      </c>
      <c r="I7" s="13">
        <f t="shared" si="2"/>
        <v>0</v>
      </c>
      <c r="J7" s="2">
        <f t="shared" si="3"/>
        <v>0</v>
      </c>
      <c r="K7" s="85">
        <f>I7/'Calc Ref Sheet'!R7</f>
        <v>0</v>
      </c>
      <c r="L7" s="86">
        <f t="shared" si="4"/>
        <v>0</v>
      </c>
      <c r="M7" s="84">
        <f t="shared" si="11"/>
        <v>0</v>
      </c>
      <c r="N7" s="13">
        <f t="shared" si="5"/>
        <v>0</v>
      </c>
      <c r="O7" s="13">
        <f t="shared" si="6"/>
        <v>0</v>
      </c>
      <c r="P7" s="85">
        <f>N7/'Calc Ref Sheet'!R7</f>
        <v>0</v>
      </c>
      <c r="Q7" s="86">
        <f t="shared" si="7"/>
        <v>0</v>
      </c>
      <c r="R7" s="84">
        <f>D7*4/1000</f>
        <v>0</v>
      </c>
      <c r="S7" s="13">
        <f t="shared" si="8"/>
        <v>0</v>
      </c>
      <c r="T7" s="13">
        <f t="shared" si="9"/>
        <v>0</v>
      </c>
      <c r="U7" s="85">
        <f>S7/'Calc Ref Sheet'!R7</f>
        <v>0</v>
      </c>
      <c r="V7" s="86">
        <f t="shared" si="10"/>
        <v>0</v>
      </c>
    </row>
    <row r="8" spans="1:22" x14ac:dyDescent="0.25">
      <c r="A8" s="6" t="s">
        <v>7</v>
      </c>
      <c r="B8" s="102">
        <v>142590</v>
      </c>
      <c r="C8" s="103">
        <v>322638</v>
      </c>
      <c r="D8" s="103">
        <v>358143</v>
      </c>
      <c r="E8" s="103">
        <v>651857</v>
      </c>
      <c r="F8" s="103">
        <v>49323</v>
      </c>
      <c r="G8" s="115">
        <f t="shared" si="0"/>
        <v>304910.2</v>
      </c>
      <c r="H8" s="91">
        <f t="shared" si="1"/>
        <v>1219.6408000000001</v>
      </c>
      <c r="I8" s="13">
        <f t="shared" si="2"/>
        <v>609.82040000000006</v>
      </c>
      <c r="J8" s="2">
        <f t="shared" si="3"/>
        <v>420.56579310344836</v>
      </c>
      <c r="K8" s="85">
        <f>I8/'Calc Ref Sheet'!R8</f>
        <v>7622.755000000001</v>
      </c>
      <c r="L8" s="86">
        <f t="shared" si="4"/>
        <v>12379.354120000002</v>
      </c>
      <c r="M8" s="94">
        <f>F8*4/1000</f>
        <v>197.292</v>
      </c>
      <c r="N8" s="13">
        <f t="shared" si="5"/>
        <v>98.646000000000001</v>
      </c>
      <c r="O8" s="13">
        <f t="shared" si="6"/>
        <v>68.031724137931036</v>
      </c>
      <c r="P8" s="85">
        <f>N8/'Calc Ref Sheet'!R8</f>
        <v>1233.075</v>
      </c>
      <c r="Q8" s="86">
        <f t="shared" si="7"/>
        <v>2002.5138000000002</v>
      </c>
      <c r="R8" s="84">
        <f>E8*4/1000</f>
        <v>2607.4279999999999</v>
      </c>
      <c r="S8" s="13">
        <f t="shared" si="8"/>
        <v>1303.7139999999999</v>
      </c>
      <c r="T8" s="13">
        <f t="shared" si="9"/>
        <v>899.11310344827587</v>
      </c>
      <c r="U8" s="85">
        <f>S8/'Calc Ref Sheet'!R8</f>
        <v>16296.424999999999</v>
      </c>
      <c r="V8" s="86">
        <f t="shared" si="10"/>
        <v>26465.394199999999</v>
      </c>
    </row>
    <row r="9" spans="1:22" x14ac:dyDescent="0.25">
      <c r="A9" s="6" t="s">
        <v>6</v>
      </c>
      <c r="B9" s="102">
        <v>22893</v>
      </c>
      <c r="C9" s="103">
        <v>5925</v>
      </c>
      <c r="D9" s="103">
        <v>7228</v>
      </c>
      <c r="E9" s="103">
        <v>4932</v>
      </c>
      <c r="F9" s="103">
        <v>6800</v>
      </c>
      <c r="G9" s="115">
        <f t="shared" si="0"/>
        <v>9555.6</v>
      </c>
      <c r="H9" s="91">
        <f t="shared" si="1"/>
        <v>38.2224</v>
      </c>
      <c r="I9" s="13">
        <f t="shared" si="2"/>
        <v>19.1112</v>
      </c>
      <c r="J9" s="2">
        <f t="shared" si="3"/>
        <v>13.180137931034484</v>
      </c>
      <c r="K9" s="85">
        <f>I9/'Calc Ref Sheet'!R9</f>
        <v>238.89</v>
      </c>
      <c r="L9" s="86">
        <f t="shared" si="4"/>
        <v>387.95735999999999</v>
      </c>
      <c r="M9" s="94">
        <f>E9*4/1000</f>
        <v>19.728000000000002</v>
      </c>
      <c r="N9" s="13">
        <f t="shared" si="5"/>
        <v>9.8640000000000008</v>
      </c>
      <c r="O9" s="13">
        <f t="shared" si="6"/>
        <v>6.802758620689656</v>
      </c>
      <c r="P9" s="85">
        <f>N9/'Calc Ref Sheet'!R9</f>
        <v>123.30000000000001</v>
      </c>
      <c r="Q9" s="86">
        <f t="shared" si="7"/>
        <v>200.23920000000001</v>
      </c>
      <c r="R9" s="94">
        <f>B9*4/1000</f>
        <v>91.572000000000003</v>
      </c>
      <c r="S9" s="13">
        <f t="shared" si="8"/>
        <v>45.786000000000001</v>
      </c>
      <c r="T9" s="13">
        <f t="shared" si="9"/>
        <v>31.576551724137932</v>
      </c>
      <c r="U9" s="85">
        <f>S9/'Calc Ref Sheet'!R9</f>
        <v>572.32500000000005</v>
      </c>
      <c r="V9" s="86">
        <f t="shared" si="10"/>
        <v>929.45580000000007</v>
      </c>
    </row>
    <row r="10" spans="1:22" x14ac:dyDescent="0.25">
      <c r="A10" s="6" t="s">
        <v>13</v>
      </c>
      <c r="B10" s="102">
        <v>99385</v>
      </c>
      <c r="C10" s="103"/>
      <c r="D10" s="103">
        <v>1589320</v>
      </c>
      <c r="E10" s="103">
        <v>198271</v>
      </c>
      <c r="F10" s="103">
        <v>503822</v>
      </c>
      <c r="G10" s="115">
        <f t="shared" si="0"/>
        <v>478159.6</v>
      </c>
      <c r="H10" s="91">
        <f t="shared" si="1"/>
        <v>1912.6383999999998</v>
      </c>
      <c r="I10" s="13">
        <f t="shared" si="2"/>
        <v>956.31919999999991</v>
      </c>
      <c r="J10" s="2">
        <f t="shared" si="3"/>
        <v>659.53048275862068</v>
      </c>
      <c r="K10" s="85">
        <f>I10/'Calc Ref Sheet'!R10</f>
        <v>11953.989999999998</v>
      </c>
      <c r="L10" s="86">
        <f t="shared" si="4"/>
        <v>19413.279759999998</v>
      </c>
      <c r="M10" s="94">
        <f>B10*4/1000</f>
        <v>397.54</v>
      </c>
      <c r="N10" s="13">
        <f t="shared" si="5"/>
        <v>198.77</v>
      </c>
      <c r="O10" s="13">
        <f t="shared" si="6"/>
        <v>137.08275862068967</v>
      </c>
      <c r="P10" s="85">
        <f>N10/'Calc Ref Sheet'!R10</f>
        <v>2484.625</v>
      </c>
      <c r="Q10" s="86">
        <f t="shared" si="7"/>
        <v>4035.0310000000004</v>
      </c>
      <c r="R10" s="84">
        <f t="shared" ref="R10:R15" si="12">D10*4/1000</f>
        <v>6357.28</v>
      </c>
      <c r="S10" s="13">
        <f t="shared" si="8"/>
        <v>3178.64</v>
      </c>
      <c r="T10" s="13">
        <f t="shared" si="9"/>
        <v>2192.1655172413793</v>
      </c>
      <c r="U10" s="85">
        <f>S10/'Calc Ref Sheet'!R10</f>
        <v>39733</v>
      </c>
      <c r="V10" s="86">
        <f t="shared" si="10"/>
        <v>64526.392</v>
      </c>
    </row>
    <row r="11" spans="1:22" x14ac:dyDescent="0.25">
      <c r="A11" s="6" t="s">
        <v>10</v>
      </c>
      <c r="B11" s="102">
        <v>451786</v>
      </c>
      <c r="C11" s="103">
        <v>874725</v>
      </c>
      <c r="D11" s="103">
        <v>1372587</v>
      </c>
      <c r="E11" s="103">
        <v>0</v>
      </c>
      <c r="F11" s="103">
        <f>23*43560</f>
        <v>1001880</v>
      </c>
      <c r="G11" s="115">
        <f t="shared" si="0"/>
        <v>740195.6</v>
      </c>
      <c r="H11" s="91">
        <f t="shared" si="1"/>
        <v>2960.7824000000001</v>
      </c>
      <c r="I11" s="13">
        <f t="shared" si="2"/>
        <v>1480.3912</v>
      </c>
      <c r="J11" s="2">
        <f t="shared" si="3"/>
        <v>1020.9594482758621</v>
      </c>
      <c r="K11" s="85">
        <f>I11/'Calc Ref Sheet'!R11</f>
        <v>18504.89</v>
      </c>
      <c r="L11" s="86">
        <f t="shared" si="4"/>
        <v>30051.941360000001</v>
      </c>
      <c r="M11" s="94">
        <f>B11*4/1000</f>
        <v>1807.144</v>
      </c>
      <c r="N11" s="13">
        <f t="shared" si="5"/>
        <v>903.572</v>
      </c>
      <c r="O11" s="13">
        <f t="shared" si="6"/>
        <v>623.15310344827583</v>
      </c>
      <c r="P11" s="85">
        <f>N11/'Calc Ref Sheet'!R11</f>
        <v>11294.65</v>
      </c>
      <c r="Q11" s="86">
        <f t="shared" si="7"/>
        <v>18342.511600000002</v>
      </c>
      <c r="R11" s="84">
        <f t="shared" si="12"/>
        <v>5490.348</v>
      </c>
      <c r="S11" s="13">
        <f t="shared" si="8"/>
        <v>2745.174</v>
      </c>
      <c r="T11" s="13">
        <f t="shared" si="9"/>
        <v>1893.2234482758622</v>
      </c>
      <c r="U11" s="85">
        <f>S11/'Calc Ref Sheet'!R11</f>
        <v>34314.674999999996</v>
      </c>
      <c r="V11" s="86">
        <f t="shared" si="10"/>
        <v>55727.032200000001</v>
      </c>
    </row>
    <row r="12" spans="1:22" x14ac:dyDescent="0.25">
      <c r="A12" s="6" t="s">
        <v>9</v>
      </c>
      <c r="B12" s="102">
        <v>232160</v>
      </c>
      <c r="C12" s="4">
        <v>0</v>
      </c>
      <c r="D12" s="4">
        <v>0</v>
      </c>
      <c r="E12" s="4">
        <v>0</v>
      </c>
      <c r="F12" s="4">
        <v>0</v>
      </c>
      <c r="G12" s="115">
        <f t="shared" si="0"/>
        <v>46432</v>
      </c>
      <c r="H12" s="91">
        <f t="shared" si="1"/>
        <v>185.72800000000001</v>
      </c>
      <c r="I12" s="13">
        <f t="shared" si="2"/>
        <v>92.864000000000004</v>
      </c>
      <c r="J12" s="2">
        <f t="shared" si="3"/>
        <v>64.044137931034484</v>
      </c>
      <c r="K12" s="85">
        <f>I12/'Calc Ref Sheet'!R12</f>
        <v>1160.8</v>
      </c>
      <c r="L12" s="86">
        <f t="shared" si="4"/>
        <v>1885.1392000000001</v>
      </c>
      <c r="M12" s="94">
        <f>B12*4/1000</f>
        <v>928.64</v>
      </c>
      <c r="N12" s="13">
        <f t="shared" si="5"/>
        <v>464.32</v>
      </c>
      <c r="O12" s="13">
        <f t="shared" si="6"/>
        <v>320.22068965517241</v>
      </c>
      <c r="P12" s="85">
        <f>N12/'Calc Ref Sheet'!R12</f>
        <v>5804</v>
      </c>
      <c r="Q12" s="86">
        <f t="shared" si="7"/>
        <v>9425.6959999999999</v>
      </c>
      <c r="R12" s="94">
        <f>B12*4/1000</f>
        <v>928.64</v>
      </c>
      <c r="S12" s="13">
        <f t="shared" si="8"/>
        <v>464.32</v>
      </c>
      <c r="T12" s="13">
        <f t="shared" si="9"/>
        <v>320.22068965517241</v>
      </c>
      <c r="U12" s="85">
        <f>S12/'Calc Ref Sheet'!R12</f>
        <v>5804</v>
      </c>
      <c r="V12" s="86">
        <f>S12*20.3</f>
        <v>9425.6959999999999</v>
      </c>
    </row>
    <row r="13" spans="1:22" x14ac:dyDescent="0.25">
      <c r="A13" s="6" t="s">
        <v>12</v>
      </c>
      <c r="B13" s="4">
        <v>0</v>
      </c>
      <c r="C13" s="4">
        <v>0</v>
      </c>
      <c r="D13" s="4">
        <v>0</v>
      </c>
      <c r="E13" s="4">
        <v>0</v>
      </c>
      <c r="F13" s="4">
        <v>0</v>
      </c>
      <c r="G13" s="115">
        <f t="shared" si="0"/>
        <v>0</v>
      </c>
      <c r="H13" s="91">
        <f t="shared" si="1"/>
        <v>0</v>
      </c>
      <c r="I13" s="13">
        <f t="shared" si="2"/>
        <v>0</v>
      </c>
      <c r="J13" s="2">
        <f t="shared" si="3"/>
        <v>0</v>
      </c>
      <c r="K13" s="85">
        <f>I13/'Calc Ref Sheet'!R13</f>
        <v>0</v>
      </c>
      <c r="L13" s="86">
        <f t="shared" si="4"/>
        <v>0</v>
      </c>
      <c r="M13" s="84">
        <f t="shared" si="11"/>
        <v>0</v>
      </c>
      <c r="N13" s="13">
        <f t="shared" si="5"/>
        <v>0</v>
      </c>
      <c r="O13" s="13">
        <f t="shared" si="6"/>
        <v>0</v>
      </c>
      <c r="P13" s="85">
        <f>N13/'Calc Ref Sheet'!R13</f>
        <v>0</v>
      </c>
      <c r="Q13" s="86">
        <f t="shared" si="7"/>
        <v>0</v>
      </c>
      <c r="R13" s="84">
        <f t="shared" si="12"/>
        <v>0</v>
      </c>
      <c r="S13" s="13">
        <f t="shared" si="8"/>
        <v>0</v>
      </c>
      <c r="T13" s="13">
        <f t="shared" si="9"/>
        <v>0</v>
      </c>
      <c r="U13" s="85">
        <f>S13/'Calc Ref Sheet'!R13</f>
        <v>0</v>
      </c>
      <c r="V13" s="86">
        <f t="shared" si="10"/>
        <v>0</v>
      </c>
    </row>
    <row r="14" spans="1:22" x14ac:dyDescent="0.25">
      <c r="A14" s="6" t="s">
        <v>14</v>
      </c>
      <c r="B14" s="102">
        <v>9530</v>
      </c>
      <c r="C14" s="103">
        <v>37700</v>
      </c>
      <c r="D14" s="103">
        <v>29869</v>
      </c>
      <c r="E14" s="103">
        <f>207*43560</f>
        <v>9016920</v>
      </c>
      <c r="F14" s="103">
        <v>0</v>
      </c>
      <c r="G14" s="115">
        <f t="shared" si="0"/>
        <v>1818803.8</v>
      </c>
      <c r="H14" s="91">
        <f t="shared" si="1"/>
        <v>7275.2152000000006</v>
      </c>
      <c r="I14" s="13">
        <f t="shared" si="2"/>
        <v>3637.6076000000003</v>
      </c>
      <c r="J14" s="2">
        <f t="shared" si="3"/>
        <v>2508.6948965517245</v>
      </c>
      <c r="K14" s="85">
        <f>I14/'Calc Ref Sheet'!R14</f>
        <v>45470.095000000001</v>
      </c>
      <c r="L14" s="86">
        <f t="shared" si="4"/>
        <v>73843.434280000001</v>
      </c>
      <c r="M14" s="94">
        <f>B14*4/1000</f>
        <v>38.119999999999997</v>
      </c>
      <c r="N14" s="13">
        <f t="shared" si="5"/>
        <v>19.059999999999999</v>
      </c>
      <c r="O14" s="13">
        <f t="shared" si="6"/>
        <v>13.144827586206896</v>
      </c>
      <c r="P14" s="85">
        <f>N14/'Calc Ref Sheet'!R14</f>
        <v>238.24999999999997</v>
      </c>
      <c r="Q14" s="86">
        <f t="shared" si="7"/>
        <v>386.91800000000001</v>
      </c>
      <c r="R14" s="84">
        <f>E14*4/1000</f>
        <v>36067.68</v>
      </c>
      <c r="S14" s="13">
        <f t="shared" si="8"/>
        <v>18033.84</v>
      </c>
      <c r="T14" s="13">
        <f t="shared" si="9"/>
        <v>12437.13103448276</v>
      </c>
      <c r="U14" s="85">
        <f>S14/'Calc Ref Sheet'!R14</f>
        <v>225423</v>
      </c>
      <c r="V14" s="86">
        <f t="shared" si="10"/>
        <v>366086.95199999999</v>
      </c>
    </row>
    <row r="15" spans="1:22" x14ac:dyDescent="0.25">
      <c r="A15" s="116" t="s">
        <v>16</v>
      </c>
      <c r="B15" s="102"/>
      <c r="C15" s="103"/>
      <c r="D15" s="103"/>
      <c r="E15" s="103"/>
      <c r="F15" s="103"/>
      <c r="G15" s="115">
        <f t="shared" si="0"/>
        <v>0</v>
      </c>
      <c r="H15" s="91">
        <f t="shared" si="1"/>
        <v>0</v>
      </c>
      <c r="I15" s="13">
        <f t="shared" si="2"/>
        <v>0</v>
      </c>
      <c r="J15" s="2">
        <f t="shared" si="3"/>
        <v>0</v>
      </c>
      <c r="K15" s="85">
        <f>I15/'Calc Ref Sheet'!R15</f>
        <v>0</v>
      </c>
      <c r="L15" s="86">
        <f t="shared" si="4"/>
        <v>0</v>
      </c>
      <c r="M15" s="84">
        <f t="shared" si="11"/>
        <v>0</v>
      </c>
      <c r="N15" s="13">
        <f t="shared" si="5"/>
        <v>0</v>
      </c>
      <c r="O15" s="13">
        <f t="shared" si="6"/>
        <v>0</v>
      </c>
      <c r="P15" s="85">
        <f>N15/'Calc Ref Sheet'!R15</f>
        <v>0</v>
      </c>
      <c r="Q15" s="86">
        <f t="shared" si="7"/>
        <v>0</v>
      </c>
      <c r="R15" s="84">
        <f t="shared" si="12"/>
        <v>0</v>
      </c>
      <c r="S15" s="13">
        <f t="shared" si="8"/>
        <v>0</v>
      </c>
      <c r="T15" s="13">
        <f t="shared" si="9"/>
        <v>0</v>
      </c>
      <c r="U15" s="85">
        <f>S15/'Calc Ref Sheet'!R15</f>
        <v>0</v>
      </c>
      <c r="V15" s="86">
        <f t="shared" si="10"/>
        <v>0</v>
      </c>
    </row>
    <row r="16" spans="1:22" x14ac:dyDescent="0.25">
      <c r="A16" s="6" t="s">
        <v>17</v>
      </c>
      <c r="B16" s="102">
        <v>23348</v>
      </c>
      <c r="C16" s="103">
        <f>1.14*43560</f>
        <v>49658.399999999994</v>
      </c>
      <c r="D16" s="103">
        <v>43560</v>
      </c>
      <c r="E16" s="103">
        <v>2775</v>
      </c>
      <c r="F16" s="103">
        <v>2771</v>
      </c>
      <c r="G16" s="115">
        <f t="shared" si="0"/>
        <v>24422.48</v>
      </c>
      <c r="H16" s="91">
        <f t="shared" si="1"/>
        <v>97.689920000000001</v>
      </c>
      <c r="I16" s="13">
        <f t="shared" si="2"/>
        <v>48.84496</v>
      </c>
      <c r="J16" s="2">
        <f t="shared" si="3"/>
        <v>33.686179310344826</v>
      </c>
      <c r="K16" s="85">
        <f>I16/'Calc Ref Sheet'!R16</f>
        <v>610.56200000000001</v>
      </c>
      <c r="L16" s="86">
        <f t="shared" si="4"/>
        <v>991.55268799999999</v>
      </c>
      <c r="M16" s="94">
        <f>F16*4/1000</f>
        <v>11.084</v>
      </c>
      <c r="N16" s="13">
        <f t="shared" si="5"/>
        <v>5.5419999999999998</v>
      </c>
      <c r="O16" s="13">
        <f t="shared" si="6"/>
        <v>3.8220689655172415</v>
      </c>
      <c r="P16" s="85">
        <f>N16/'Calc Ref Sheet'!R16</f>
        <v>69.274999999999991</v>
      </c>
      <c r="Q16" s="86">
        <f t="shared" si="7"/>
        <v>112.5026</v>
      </c>
      <c r="R16" s="94">
        <f>C16*4/1000</f>
        <v>198.63359999999997</v>
      </c>
      <c r="S16" s="13">
        <f t="shared" si="8"/>
        <v>99.316799999999986</v>
      </c>
      <c r="T16" s="13">
        <f t="shared" si="9"/>
        <v>68.494344827586204</v>
      </c>
      <c r="U16" s="85">
        <f>S16/'Calc Ref Sheet'!R16</f>
        <v>1241.4599999999998</v>
      </c>
      <c r="V16" s="86">
        <f t="shared" si="10"/>
        <v>2016.1310399999998</v>
      </c>
    </row>
    <row r="17" spans="1:22" x14ac:dyDescent="0.25">
      <c r="A17" s="6" t="s">
        <v>8</v>
      </c>
      <c r="B17" s="102">
        <v>344797</v>
      </c>
      <c r="C17" s="103">
        <v>457380</v>
      </c>
      <c r="D17" s="103">
        <f>10.62*43560</f>
        <v>462607.19999999995</v>
      </c>
      <c r="E17" s="103">
        <f>6.6*43560</f>
        <v>287496</v>
      </c>
      <c r="F17" s="103">
        <f>15.8*43560</f>
        <v>688248</v>
      </c>
      <c r="G17" s="115">
        <f t="shared" si="0"/>
        <v>448105.64</v>
      </c>
      <c r="H17" s="91">
        <f t="shared" si="1"/>
        <v>1792.42256</v>
      </c>
      <c r="I17" s="13">
        <f t="shared" si="2"/>
        <v>896.21127999999999</v>
      </c>
      <c r="J17" s="2">
        <f t="shared" si="3"/>
        <v>618.07674482758625</v>
      </c>
      <c r="K17" s="85">
        <f>I17/'Calc Ref Sheet'!R17</f>
        <v>11202.641</v>
      </c>
      <c r="L17" s="86">
        <f t="shared" si="4"/>
        <v>18193.088984000002</v>
      </c>
      <c r="M17" s="94">
        <f>E17*4/1000</f>
        <v>1149.9839999999999</v>
      </c>
      <c r="N17" s="13">
        <f t="shared" si="5"/>
        <v>574.99199999999996</v>
      </c>
      <c r="O17" s="13">
        <f t="shared" si="6"/>
        <v>396.54620689655172</v>
      </c>
      <c r="P17" s="85">
        <f>N17/'Calc Ref Sheet'!R17</f>
        <v>7187.4</v>
      </c>
      <c r="Q17" s="86">
        <f t="shared" si="7"/>
        <v>11672.337599999999</v>
      </c>
      <c r="R17" s="84">
        <f>F17*4/1000</f>
        <v>2752.9920000000002</v>
      </c>
      <c r="S17" s="13">
        <f t="shared" si="8"/>
        <v>1376.4960000000001</v>
      </c>
      <c r="T17" s="13">
        <f t="shared" si="9"/>
        <v>949.30758620689664</v>
      </c>
      <c r="U17" s="85">
        <f>S17/'Calc Ref Sheet'!R17</f>
        <v>17206.2</v>
      </c>
      <c r="V17" s="86">
        <f t="shared" si="10"/>
        <v>27942.868800000004</v>
      </c>
    </row>
    <row r="18" spans="1:22" x14ac:dyDescent="0.25">
      <c r="A18" s="6" t="s">
        <v>15</v>
      </c>
      <c r="B18" s="105">
        <v>36858</v>
      </c>
      <c r="C18" s="106"/>
      <c r="D18" s="106">
        <v>19722</v>
      </c>
      <c r="E18" s="106">
        <v>2477</v>
      </c>
      <c r="F18" s="106">
        <v>18544</v>
      </c>
      <c r="G18" s="115">
        <f t="shared" si="0"/>
        <v>15520.2</v>
      </c>
      <c r="H18" s="91">
        <f t="shared" si="1"/>
        <v>62.080800000000004</v>
      </c>
      <c r="I18" s="13">
        <f t="shared" si="2"/>
        <v>31.040400000000002</v>
      </c>
      <c r="J18" s="2">
        <f t="shared" si="3"/>
        <v>21.407172413793106</v>
      </c>
      <c r="K18" s="85">
        <f>I18/'Calc Ref Sheet'!R18</f>
        <v>388.005</v>
      </c>
      <c r="L18" s="86">
        <f t="shared" si="4"/>
        <v>630.12012000000004</v>
      </c>
      <c r="M18" s="94">
        <f>E18*4/1000</f>
        <v>9.9079999999999995</v>
      </c>
      <c r="N18" s="13">
        <f t="shared" si="5"/>
        <v>4.9539999999999997</v>
      </c>
      <c r="O18" s="13">
        <f t="shared" si="6"/>
        <v>3.4165517241379311</v>
      </c>
      <c r="P18" s="85">
        <f>N18/'Calc Ref Sheet'!R18</f>
        <v>61.924999999999997</v>
      </c>
      <c r="Q18" s="86">
        <f t="shared" si="7"/>
        <v>100.56619999999999</v>
      </c>
      <c r="R18" s="94">
        <f>B18*4/1000</f>
        <v>147.43199999999999</v>
      </c>
      <c r="S18" s="13">
        <f t="shared" si="8"/>
        <v>73.715999999999994</v>
      </c>
      <c r="T18" s="13">
        <f t="shared" si="9"/>
        <v>50.838620689655173</v>
      </c>
      <c r="U18" s="85">
        <f>S18/'Calc Ref Sheet'!R18</f>
        <v>921.44999999999993</v>
      </c>
      <c r="V18" s="86">
        <f t="shared" si="10"/>
        <v>1496.4348</v>
      </c>
    </row>
    <row r="19" spans="1:22" x14ac:dyDescent="0.25">
      <c r="A19" s="6" t="s">
        <v>11</v>
      </c>
      <c r="B19" s="4">
        <v>0</v>
      </c>
      <c r="C19" s="4">
        <v>0</v>
      </c>
      <c r="D19" s="4">
        <v>0</v>
      </c>
      <c r="E19" s="4">
        <v>0</v>
      </c>
      <c r="F19" s="4">
        <v>0</v>
      </c>
      <c r="G19" s="115">
        <f t="shared" si="0"/>
        <v>0</v>
      </c>
      <c r="H19" s="92">
        <f t="shared" si="1"/>
        <v>0</v>
      </c>
      <c r="I19" s="88">
        <f t="shared" si="2"/>
        <v>0</v>
      </c>
      <c r="J19" s="93">
        <f t="shared" si="3"/>
        <v>0</v>
      </c>
      <c r="K19" s="89">
        <f>I19/'Calc Ref Sheet'!R19</f>
        <v>0</v>
      </c>
      <c r="L19" s="90">
        <f t="shared" si="4"/>
        <v>0</v>
      </c>
      <c r="M19" s="87">
        <f t="shared" ref="M19" si="13">E19*4/1000</f>
        <v>0</v>
      </c>
      <c r="N19" s="88">
        <f t="shared" si="5"/>
        <v>0</v>
      </c>
      <c r="O19" s="88">
        <f t="shared" si="6"/>
        <v>0</v>
      </c>
      <c r="P19" s="89">
        <f>N19/'Calc Ref Sheet'!R19</f>
        <v>0</v>
      </c>
      <c r="Q19" s="90">
        <f t="shared" si="7"/>
        <v>0</v>
      </c>
      <c r="R19" s="87">
        <f t="shared" ref="R19" si="14">D19*4/1000</f>
        <v>0</v>
      </c>
      <c r="S19" s="88">
        <f t="shared" si="8"/>
        <v>0</v>
      </c>
      <c r="T19" s="88">
        <f t="shared" si="9"/>
        <v>0</v>
      </c>
      <c r="U19" s="89">
        <f>S19/'Calc Ref Sheet'!R19</f>
        <v>0</v>
      </c>
      <c r="V19" s="90">
        <f t="shared" si="10"/>
        <v>0</v>
      </c>
    </row>
    <row r="20" spans="1:22" x14ac:dyDescent="0.25">
      <c r="L20" s="83">
        <f>SUM(L3:L19)</f>
        <v>162865.32147200001</v>
      </c>
      <c r="M20" s="13">
        <f>SUM(M3:M19)</f>
        <v>4862.4639999999999</v>
      </c>
      <c r="N20" s="13">
        <f t="shared" si="5"/>
        <v>2431.232</v>
      </c>
      <c r="O20" s="13">
        <f t="shared" si="6"/>
        <v>1676.711724137931</v>
      </c>
      <c r="Q20" s="83">
        <f>SUM(Q3:Q19)</f>
        <v>49354.009600000005</v>
      </c>
      <c r="R20" s="13">
        <f>SUM(R3:R19)</f>
        <v>56313.8776</v>
      </c>
      <c r="V20" s="83">
        <f>SUM(V3:V19)</f>
        <v>571585.85764000006</v>
      </c>
    </row>
  </sheetData>
  <mergeCells count="4">
    <mergeCell ref="C1:G1"/>
    <mergeCell ref="H1:L1"/>
    <mergeCell ref="M1:Q1"/>
    <mergeCell ref="R1:V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E954A-45D6-40BF-8C71-BFD7F6712581}">
  <dimension ref="A1:AT86"/>
  <sheetViews>
    <sheetView topLeftCell="A15" zoomScale="115" zoomScaleNormal="115" workbookViewId="0">
      <selection activeCell="C89" sqref="C89"/>
    </sheetView>
  </sheetViews>
  <sheetFormatPr defaultRowHeight="15" x14ac:dyDescent="0.25"/>
  <cols>
    <col min="1" max="1" width="52.28515625" style="135" customWidth="1"/>
    <col min="2" max="2" width="30.5703125" style="135" bestFit="1" customWidth="1"/>
    <col min="3" max="3" width="27.85546875" style="135" customWidth="1"/>
    <col min="4" max="4" width="33.28515625" style="135" bestFit="1" customWidth="1"/>
    <col min="5" max="5" width="33.28515625" style="135" customWidth="1"/>
    <col min="6" max="6" width="75.140625" style="135" bestFit="1" customWidth="1"/>
    <col min="7" max="16384" width="9.140625" style="135"/>
  </cols>
  <sheetData>
    <row r="1" spans="1:8" ht="45" customHeight="1" x14ac:dyDescent="0.25">
      <c r="A1" s="243" t="s">
        <v>228</v>
      </c>
      <c r="B1" s="244"/>
      <c r="C1" s="244"/>
      <c r="D1" s="244"/>
      <c r="E1" s="244"/>
      <c r="F1" s="245"/>
      <c r="G1" s="134"/>
      <c r="H1" s="134"/>
    </row>
    <row r="2" spans="1:8" ht="15.75" x14ac:dyDescent="0.25">
      <c r="A2" s="136" t="s">
        <v>229</v>
      </c>
      <c r="B2" s="137"/>
      <c r="C2" s="138"/>
      <c r="D2" s="134"/>
      <c r="E2" s="134"/>
      <c r="F2" s="134"/>
      <c r="G2" s="134"/>
      <c r="H2" s="134"/>
    </row>
    <row r="3" spans="1:8" x14ac:dyDescent="0.25">
      <c r="A3" s="139" t="s">
        <v>230</v>
      </c>
      <c r="B3" s="140">
        <v>2024</v>
      </c>
      <c r="C3" s="138"/>
      <c r="D3" s="134"/>
      <c r="E3" s="134"/>
      <c r="F3" s="134"/>
      <c r="G3" s="134"/>
      <c r="H3" s="134"/>
    </row>
    <row r="4" spans="1:8" x14ac:dyDescent="0.25">
      <c r="A4" s="139" t="s">
        <v>231</v>
      </c>
      <c r="B4" s="140" t="s">
        <v>232</v>
      </c>
      <c r="C4" s="138"/>
      <c r="D4" s="134"/>
      <c r="E4" s="134"/>
      <c r="F4" s="134"/>
      <c r="G4" s="134"/>
      <c r="H4" s="134"/>
    </row>
    <row r="5" spans="1:8" ht="15.75" x14ac:dyDescent="0.25">
      <c r="A5" s="141" t="s">
        <v>233</v>
      </c>
      <c r="B5" s="142"/>
      <c r="C5" s="138"/>
      <c r="D5" s="134"/>
      <c r="E5" s="134"/>
      <c r="F5" s="134"/>
      <c r="G5" s="134"/>
      <c r="H5" s="134"/>
    </row>
    <row r="6" spans="1:8" x14ac:dyDescent="0.25">
      <c r="A6" s="139" t="s">
        <v>234</v>
      </c>
      <c r="B6" s="140" t="s">
        <v>235</v>
      </c>
      <c r="C6" s="138"/>
      <c r="D6" s="134"/>
      <c r="E6" s="134"/>
      <c r="F6" s="134"/>
      <c r="G6" s="134"/>
      <c r="H6" s="134"/>
    </row>
    <row r="7" spans="1:8" x14ac:dyDescent="0.25">
      <c r="A7" s="139" t="s">
        <v>236</v>
      </c>
      <c r="B7" s="140" t="s">
        <v>237</v>
      </c>
      <c r="C7" s="143"/>
      <c r="D7" s="134"/>
      <c r="E7" s="134"/>
      <c r="F7" s="134"/>
      <c r="G7" s="134"/>
      <c r="H7" s="134"/>
    </row>
    <row r="8" spans="1:8" x14ac:dyDescent="0.25">
      <c r="A8" s="139" t="s">
        <v>238</v>
      </c>
      <c r="B8" s="144">
        <v>1641869</v>
      </c>
      <c r="C8" s="145" t="s">
        <v>239</v>
      </c>
      <c r="D8" s="134"/>
      <c r="E8" s="134"/>
      <c r="F8" s="134"/>
      <c r="G8" s="134"/>
      <c r="H8" s="134"/>
    </row>
    <row r="9" spans="1:8" x14ac:dyDescent="0.25">
      <c r="A9" s="146" t="s">
        <v>240</v>
      </c>
      <c r="B9" s="144">
        <v>1654555</v>
      </c>
      <c r="C9" s="145" t="s">
        <v>241</v>
      </c>
      <c r="D9" s="134"/>
      <c r="E9" s="134"/>
      <c r="F9" s="134"/>
      <c r="G9" s="134"/>
      <c r="H9" s="134"/>
    </row>
    <row r="10" spans="1:8" x14ac:dyDescent="0.25">
      <c r="A10" s="139" t="s">
        <v>242</v>
      </c>
      <c r="B10" s="147">
        <f>(B9/B8)-1</f>
        <v>7.7265604015910316E-3</v>
      </c>
      <c r="C10" s="138"/>
      <c r="D10" s="134"/>
      <c r="E10" s="134"/>
      <c r="F10" s="134"/>
      <c r="G10" s="134"/>
      <c r="H10" s="134"/>
    </row>
    <row r="11" spans="1:8" ht="15.75" x14ac:dyDescent="0.25">
      <c r="A11" s="141" t="s">
        <v>243</v>
      </c>
      <c r="B11" s="137"/>
      <c r="C11" s="138"/>
      <c r="D11" s="134"/>
      <c r="E11" s="134"/>
      <c r="F11" s="134"/>
      <c r="G11" s="134"/>
      <c r="H11" s="134"/>
    </row>
    <row r="12" spans="1:8" x14ac:dyDescent="0.25">
      <c r="A12" s="139" t="s">
        <v>244</v>
      </c>
      <c r="B12" s="144">
        <v>1297597</v>
      </c>
      <c r="C12" s="148" t="s">
        <v>245</v>
      </c>
      <c r="D12" s="134"/>
      <c r="E12" s="134"/>
      <c r="F12" s="134"/>
      <c r="G12" s="134"/>
      <c r="H12" s="134"/>
    </row>
    <row r="13" spans="1:8" x14ac:dyDescent="0.25">
      <c r="A13" s="139" t="s">
        <v>246</v>
      </c>
      <c r="B13" s="149">
        <f>B8</f>
        <v>1641869</v>
      </c>
      <c r="C13" s="138"/>
      <c r="D13" s="134"/>
      <c r="E13" s="134"/>
      <c r="F13" s="134"/>
      <c r="G13" s="134"/>
      <c r="H13" s="134"/>
    </row>
    <row r="14" spans="1:8" ht="30" x14ac:dyDescent="0.25">
      <c r="A14" s="139" t="s">
        <v>247</v>
      </c>
      <c r="B14" s="150">
        <f>((SUM(B12+B15+B16)/B13)*(2000/1)*(1/365))</f>
        <v>4.3752376853985746</v>
      </c>
      <c r="C14" s="138" t="s">
        <v>248</v>
      </c>
      <c r="D14" s="134"/>
      <c r="E14" s="134"/>
      <c r="F14" s="134"/>
      <c r="G14" s="134"/>
      <c r="H14" s="134"/>
    </row>
    <row r="15" spans="1:8" x14ac:dyDescent="0.25">
      <c r="A15" s="139" t="s">
        <v>249</v>
      </c>
      <c r="B15" s="151">
        <v>0</v>
      </c>
      <c r="C15" s="138"/>
      <c r="D15" s="134"/>
      <c r="E15" s="134"/>
      <c r="F15" s="134"/>
      <c r="G15" s="134"/>
      <c r="H15" s="134"/>
    </row>
    <row r="16" spans="1:8" x14ac:dyDescent="0.25">
      <c r="A16" s="139" t="s">
        <v>250</v>
      </c>
      <c r="B16" s="149">
        <f>B67</f>
        <v>13404</v>
      </c>
      <c r="C16" s="219" t="s">
        <v>318</v>
      </c>
      <c r="D16" s="134"/>
      <c r="E16" s="134"/>
      <c r="F16" s="134"/>
      <c r="G16" s="134"/>
      <c r="H16" s="134"/>
    </row>
    <row r="17" spans="1:46" s="152" customFormat="1" ht="15.75" x14ac:dyDescent="0.25">
      <c r="A17" s="141" t="s">
        <v>251</v>
      </c>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4"/>
    </row>
    <row r="18" spans="1:46" s="152" customFormat="1" ht="30" x14ac:dyDescent="0.25">
      <c r="A18" s="139" t="s">
        <v>252</v>
      </c>
      <c r="B18" s="153">
        <f>B12+B16</f>
        <v>1311001</v>
      </c>
      <c r="C18" s="154"/>
      <c r="D18" s="154"/>
      <c r="E18" s="154"/>
      <c r="F18" s="154"/>
      <c r="G18" s="154"/>
      <c r="H18" s="154"/>
      <c r="I18" s="246">
        <f>P12+P16</f>
        <v>0</v>
      </c>
      <c r="J18" s="246"/>
      <c r="K18" s="246"/>
      <c r="L18" s="246"/>
      <c r="M18" s="246"/>
      <c r="N18" s="246"/>
      <c r="O18" s="134"/>
      <c r="P18" s="134"/>
      <c r="Q18" s="134"/>
      <c r="R18" s="134"/>
      <c r="S18" s="134"/>
      <c r="T18" s="155"/>
      <c r="U18" s="138"/>
      <c r="V18" s="134"/>
      <c r="W18" s="134"/>
      <c r="X18" s="134"/>
      <c r="Y18" s="134"/>
      <c r="Z18" s="134"/>
      <c r="AA18" s="134"/>
      <c r="AB18" s="156"/>
      <c r="AC18" s="148"/>
      <c r="AD18" s="138"/>
      <c r="AE18" s="134"/>
      <c r="AF18" s="134"/>
      <c r="AG18" s="134"/>
      <c r="AH18" s="148"/>
      <c r="AI18" s="134"/>
      <c r="AJ18" s="134"/>
      <c r="AK18" s="134"/>
      <c r="AL18" s="148"/>
      <c r="AM18" s="134"/>
      <c r="AN18" s="134"/>
      <c r="AO18" s="134"/>
      <c r="AP18" s="134"/>
      <c r="AQ18" s="134"/>
      <c r="AR18" s="134"/>
    </row>
    <row r="19" spans="1:46" s="152" customFormat="1" x14ac:dyDescent="0.25">
      <c r="A19" s="157" t="s">
        <v>253</v>
      </c>
      <c r="B19" s="158">
        <f>B63</f>
        <v>0.34489999999999998</v>
      </c>
      <c r="C19" s="154"/>
      <c r="D19" s="154"/>
      <c r="E19" s="154"/>
      <c r="F19" s="154"/>
      <c r="G19" s="154"/>
      <c r="U19" s="134"/>
      <c r="V19" s="134"/>
      <c r="W19" s="134"/>
      <c r="X19" s="134"/>
      <c r="Y19" s="134"/>
      <c r="Z19" s="134"/>
      <c r="AA19" s="134"/>
      <c r="AB19" s="134"/>
      <c r="AC19" s="134"/>
      <c r="AD19" s="138"/>
      <c r="AE19" s="134"/>
      <c r="AF19" s="134"/>
      <c r="AG19" s="134"/>
      <c r="AH19" s="134"/>
      <c r="AI19" s="134"/>
      <c r="AJ19" s="134"/>
      <c r="AK19" s="134"/>
      <c r="AL19" s="134"/>
      <c r="AM19" s="134"/>
      <c r="AN19" s="134"/>
      <c r="AO19" s="134"/>
      <c r="AP19" s="134"/>
      <c r="AQ19" s="134"/>
      <c r="AR19" s="134"/>
    </row>
    <row r="20" spans="1:46" s="152" customFormat="1" ht="37.5" customHeight="1" x14ac:dyDescent="0.25">
      <c r="A20" s="247" t="s">
        <v>254</v>
      </c>
      <c r="B20" s="247"/>
      <c r="C20" s="247"/>
      <c r="D20" s="247"/>
      <c r="E20" s="247"/>
      <c r="F20" s="248"/>
      <c r="G20" s="154"/>
      <c r="U20" s="134"/>
      <c r="V20" s="134"/>
      <c r="W20" s="134"/>
      <c r="X20" s="134"/>
      <c r="Y20" s="134"/>
      <c r="Z20" s="134"/>
      <c r="AA20" s="134"/>
      <c r="AB20" s="134"/>
      <c r="AC20" s="134"/>
      <c r="AD20" s="138"/>
      <c r="AE20" s="134"/>
      <c r="AF20" s="134"/>
      <c r="AG20" s="134"/>
      <c r="AH20" s="134"/>
      <c r="AI20" s="134"/>
      <c r="AJ20" s="134"/>
      <c r="AK20" s="134"/>
      <c r="AL20" s="134"/>
      <c r="AM20" s="134"/>
      <c r="AN20" s="134"/>
      <c r="AO20" s="134"/>
      <c r="AP20" s="134"/>
      <c r="AQ20" s="134"/>
      <c r="AR20" s="134"/>
    </row>
    <row r="21" spans="1:46" s="152" customFormat="1" x14ac:dyDescent="0.25">
      <c r="A21" s="160" t="s">
        <v>255</v>
      </c>
      <c r="E21" s="134"/>
      <c r="F21" s="134"/>
      <c r="G21" s="134"/>
      <c r="I21" s="134"/>
      <c r="J21" s="134"/>
      <c r="K21" s="134"/>
      <c r="M21" s="134"/>
      <c r="N21" s="134"/>
      <c r="U21" s="134"/>
      <c r="V21" s="134"/>
      <c r="W21" s="134"/>
      <c r="X21" s="134"/>
      <c r="Y21" s="134"/>
      <c r="Z21" s="134"/>
      <c r="AA21" s="134"/>
      <c r="AB21" s="134"/>
      <c r="AC21" s="134"/>
      <c r="AD21" s="134"/>
      <c r="AE21" s="134"/>
      <c r="AF21" s="138"/>
      <c r="AG21" s="134"/>
      <c r="AH21" s="134"/>
      <c r="AI21" s="134"/>
      <c r="AJ21" s="134"/>
      <c r="AK21" s="134"/>
      <c r="AL21" s="134"/>
      <c r="AM21" s="134"/>
      <c r="AN21" s="134"/>
      <c r="AO21" s="134"/>
      <c r="AP21" s="134"/>
      <c r="AQ21" s="134"/>
      <c r="AR21" s="134"/>
      <c r="AS21" s="134"/>
      <c r="AT21" s="134"/>
    </row>
    <row r="22" spans="1:46" s="152" customFormat="1" x14ac:dyDescent="0.25">
      <c r="A22" s="161" t="s">
        <v>256</v>
      </c>
      <c r="E22" s="134"/>
      <c r="F22" s="134"/>
      <c r="G22" s="134"/>
      <c r="I22" s="134"/>
      <c r="J22" s="134"/>
      <c r="K22" s="134"/>
      <c r="M22" s="134"/>
      <c r="N22" s="134"/>
      <c r="U22" s="134"/>
      <c r="V22" s="134"/>
      <c r="W22" s="134"/>
      <c r="X22" s="134"/>
      <c r="Y22" s="134"/>
      <c r="Z22" s="134"/>
      <c r="AA22" s="134"/>
      <c r="AB22" s="134"/>
      <c r="AC22" s="134"/>
      <c r="AD22" s="134"/>
      <c r="AE22" s="134"/>
      <c r="AF22" s="138"/>
      <c r="AG22" s="134"/>
      <c r="AH22" s="134"/>
      <c r="AI22" s="134"/>
      <c r="AJ22" s="134"/>
      <c r="AK22" s="134"/>
      <c r="AL22" s="134"/>
      <c r="AM22" s="134"/>
      <c r="AN22" s="134"/>
      <c r="AO22" s="134"/>
      <c r="AP22" s="134"/>
      <c r="AQ22" s="134"/>
      <c r="AR22" s="134"/>
      <c r="AS22" s="134"/>
      <c r="AT22" s="134"/>
    </row>
    <row r="23" spans="1:46" s="152" customFormat="1" x14ac:dyDescent="0.25">
      <c r="A23" s="162" t="s">
        <v>257</v>
      </c>
      <c r="E23" s="134"/>
      <c r="F23" s="134"/>
      <c r="G23" s="134"/>
      <c r="I23" s="134"/>
      <c r="J23" s="134"/>
      <c r="K23" s="134"/>
      <c r="M23" s="134"/>
      <c r="N23" s="134"/>
      <c r="U23" s="134"/>
      <c r="V23" s="134"/>
      <c r="W23" s="134"/>
      <c r="X23" s="134"/>
      <c r="Y23" s="134"/>
      <c r="Z23" s="134"/>
      <c r="AA23" s="134"/>
      <c r="AB23" s="134"/>
      <c r="AC23" s="134"/>
      <c r="AD23" s="134"/>
      <c r="AE23" s="134"/>
      <c r="AF23" s="138"/>
      <c r="AG23" s="134"/>
      <c r="AH23" s="134"/>
      <c r="AI23" s="134"/>
      <c r="AJ23" s="134"/>
      <c r="AK23" s="134"/>
      <c r="AL23" s="134"/>
      <c r="AM23" s="134"/>
      <c r="AN23" s="134"/>
      <c r="AO23" s="134"/>
      <c r="AP23" s="134"/>
      <c r="AQ23" s="134"/>
      <c r="AR23" s="134"/>
      <c r="AS23" s="134"/>
      <c r="AT23" s="134"/>
    </row>
    <row r="24" spans="1:46" x14ac:dyDescent="0.25">
      <c r="A24" s="134"/>
      <c r="B24" s="134"/>
      <c r="C24" s="138"/>
      <c r="D24" s="134"/>
      <c r="E24" s="134"/>
      <c r="F24" s="134"/>
      <c r="G24" s="134"/>
      <c r="H24" s="134"/>
      <c r="I24" s="134"/>
      <c r="J24" s="134"/>
      <c r="K24" s="134"/>
      <c r="L24" s="134"/>
      <c r="M24" s="134"/>
      <c r="N24" s="134"/>
    </row>
    <row r="25" spans="1:46" s="166" customFormat="1" ht="40.5" customHeight="1" x14ac:dyDescent="0.25">
      <c r="A25" s="159" t="s">
        <v>258</v>
      </c>
      <c r="B25" s="163" t="s">
        <v>259</v>
      </c>
      <c r="C25" s="163" t="s">
        <v>260</v>
      </c>
      <c r="D25" s="163" t="s">
        <v>261</v>
      </c>
      <c r="E25" s="163" t="s">
        <v>262</v>
      </c>
      <c r="F25" s="164" t="s">
        <v>80</v>
      </c>
      <c r="G25" s="165"/>
      <c r="H25" s="165"/>
      <c r="I25" s="165"/>
      <c r="J25" s="165"/>
      <c r="L25" s="165"/>
      <c r="M25" s="165"/>
      <c r="N25" s="165"/>
      <c r="P25" s="165"/>
      <c r="Q25" s="165"/>
    </row>
    <row r="26" spans="1:46" x14ac:dyDescent="0.25">
      <c r="A26" s="139" t="s">
        <v>263</v>
      </c>
      <c r="B26" s="167">
        <v>3.8600000000000002E-2</v>
      </c>
      <c r="C26" s="153">
        <f t="shared" ref="C26:C63" si="0">B26*$B$12</f>
        <v>50087.244200000001</v>
      </c>
      <c r="D26" s="154" t="s">
        <v>264</v>
      </c>
      <c r="E26" s="154" t="s">
        <v>265</v>
      </c>
      <c r="F26" s="134"/>
      <c r="G26" s="134"/>
    </row>
    <row r="27" spans="1:46" x14ac:dyDescent="0.25">
      <c r="A27" s="139" t="s">
        <v>266</v>
      </c>
      <c r="B27" s="168">
        <v>2.2000000000000001E-3</v>
      </c>
      <c r="C27" s="153">
        <f t="shared" si="0"/>
        <v>2854.7134000000001</v>
      </c>
      <c r="D27" s="154" t="s">
        <v>264</v>
      </c>
      <c r="E27" s="154" t="s">
        <v>265</v>
      </c>
      <c r="F27" s="134"/>
      <c r="G27" s="134"/>
    </row>
    <row r="28" spans="1:46" x14ac:dyDescent="0.25">
      <c r="A28" s="139" t="s">
        <v>267</v>
      </c>
      <c r="B28" s="168">
        <v>4.4000000000000003E-3</v>
      </c>
      <c r="C28" s="153">
        <f t="shared" si="0"/>
        <v>5709.4268000000002</v>
      </c>
      <c r="D28" s="154" t="s">
        <v>264</v>
      </c>
      <c r="E28" s="154" t="s">
        <v>265</v>
      </c>
      <c r="F28" s="134"/>
      <c r="G28" s="134"/>
    </row>
    <row r="29" spans="1:46" x14ac:dyDescent="0.25">
      <c r="A29" s="169" t="s">
        <v>268</v>
      </c>
      <c r="B29" s="170"/>
      <c r="C29" s="153">
        <f t="shared" si="0"/>
        <v>0</v>
      </c>
      <c r="D29" s="154" t="s">
        <v>264</v>
      </c>
      <c r="E29" s="154" t="s">
        <v>269</v>
      </c>
      <c r="F29" s="134"/>
      <c r="G29" s="134"/>
    </row>
    <row r="30" spans="1:46" x14ac:dyDescent="0.25">
      <c r="A30" s="169" t="s">
        <v>270</v>
      </c>
      <c r="B30" s="170"/>
      <c r="C30" s="153">
        <f t="shared" si="0"/>
        <v>0</v>
      </c>
      <c r="D30" s="154" t="s">
        <v>264</v>
      </c>
      <c r="E30" s="154" t="s">
        <v>269</v>
      </c>
      <c r="F30" s="134"/>
      <c r="G30" s="134"/>
    </row>
    <row r="31" spans="1:46" x14ac:dyDescent="0.25">
      <c r="A31" s="169" t="s">
        <v>271</v>
      </c>
      <c r="B31" s="170"/>
      <c r="C31" s="153">
        <f t="shared" si="0"/>
        <v>0</v>
      </c>
      <c r="D31" s="171" t="s">
        <v>264</v>
      </c>
      <c r="E31" s="171" t="s">
        <v>269</v>
      </c>
      <c r="F31" s="138"/>
      <c r="G31" s="134"/>
    </row>
    <row r="32" spans="1:46" x14ac:dyDescent="0.25">
      <c r="A32" s="172" t="s">
        <v>272</v>
      </c>
      <c r="B32" s="170" t="s">
        <v>273</v>
      </c>
      <c r="C32" s="153">
        <f>B32*$B$12</f>
        <v>0</v>
      </c>
      <c r="D32" s="171" t="s">
        <v>264</v>
      </c>
      <c r="E32" s="171" t="s">
        <v>269</v>
      </c>
      <c r="F32" s="138"/>
      <c r="G32" s="134"/>
    </row>
    <row r="33" spans="1:10" x14ac:dyDescent="0.25">
      <c r="A33" s="173" t="s">
        <v>274</v>
      </c>
      <c r="B33" s="168">
        <v>1.67E-2</v>
      </c>
      <c r="C33" s="153">
        <f>B33*$B$12</f>
        <v>21669.869899999998</v>
      </c>
      <c r="D33" s="154" t="s">
        <v>264</v>
      </c>
      <c r="E33" s="154" t="s">
        <v>275</v>
      </c>
      <c r="F33" s="138" t="s">
        <v>276</v>
      </c>
      <c r="G33" s="134"/>
    </row>
    <row r="34" spans="1:10" ht="36" customHeight="1" x14ac:dyDescent="0.25">
      <c r="A34" s="139" t="s">
        <v>277</v>
      </c>
      <c r="B34" s="168">
        <v>9.7999999999999997E-3</v>
      </c>
      <c r="C34" s="153">
        <f t="shared" si="0"/>
        <v>12716.4506</v>
      </c>
      <c r="D34" s="171" t="s">
        <v>264</v>
      </c>
      <c r="E34" s="171" t="s">
        <v>265</v>
      </c>
      <c r="F34" s="138"/>
      <c r="G34" s="134"/>
    </row>
    <row r="35" spans="1:10" x14ac:dyDescent="0.25">
      <c r="A35" s="139" t="s">
        <v>278</v>
      </c>
      <c r="B35" s="168">
        <v>3.0999999999999999E-3</v>
      </c>
      <c r="C35" s="153">
        <f t="shared" si="0"/>
        <v>4022.5506999999998</v>
      </c>
      <c r="D35" s="171" t="s">
        <v>264</v>
      </c>
      <c r="E35" s="171" t="s">
        <v>265</v>
      </c>
      <c r="F35" s="138"/>
      <c r="G35" s="134"/>
    </row>
    <row r="36" spans="1:10" x14ac:dyDescent="0.25">
      <c r="A36" s="139" t="s">
        <v>279</v>
      </c>
      <c r="B36" s="168">
        <v>6.9999999999999999E-4</v>
      </c>
      <c r="C36" s="153">
        <f t="shared" si="0"/>
        <v>908.31790000000001</v>
      </c>
      <c r="D36" s="171" t="s">
        <v>264</v>
      </c>
      <c r="E36" s="171" t="s">
        <v>265</v>
      </c>
      <c r="F36" s="138"/>
      <c r="G36" s="134"/>
    </row>
    <row r="37" spans="1:10" x14ac:dyDescent="0.25">
      <c r="A37" s="139" t="s">
        <v>280</v>
      </c>
      <c r="B37" s="168">
        <v>6.9999999999999999E-4</v>
      </c>
      <c r="C37" s="153">
        <f t="shared" si="0"/>
        <v>908.31790000000001</v>
      </c>
      <c r="D37" s="171" t="s">
        <v>264</v>
      </c>
      <c r="E37" s="171" t="s">
        <v>265</v>
      </c>
      <c r="F37" s="138"/>
      <c r="G37" s="134"/>
    </row>
    <row r="38" spans="1:10" x14ac:dyDescent="0.25">
      <c r="A38" s="139" t="s">
        <v>281</v>
      </c>
      <c r="B38" s="168">
        <v>9.7000000000000003E-3</v>
      </c>
      <c r="C38" s="153">
        <f t="shared" si="0"/>
        <v>12586.6909</v>
      </c>
      <c r="D38" s="171" t="s">
        <v>282</v>
      </c>
      <c r="E38" s="171" t="s">
        <v>265</v>
      </c>
      <c r="F38" s="138"/>
      <c r="G38" s="134"/>
    </row>
    <row r="39" spans="1:10" ht="30" x14ac:dyDescent="0.25">
      <c r="A39" s="173" t="s">
        <v>283</v>
      </c>
      <c r="B39" s="168">
        <f>0.17%+0.08%</f>
        <v>2.5000000000000001E-3</v>
      </c>
      <c r="C39" s="153">
        <f t="shared" si="0"/>
        <v>3243.9925000000003</v>
      </c>
      <c r="D39" s="171" t="s">
        <v>282</v>
      </c>
      <c r="E39" s="171" t="s">
        <v>275</v>
      </c>
      <c r="F39" s="138"/>
      <c r="G39" s="134"/>
    </row>
    <row r="40" spans="1:10" x14ac:dyDescent="0.25">
      <c r="A40" s="174" t="s">
        <v>284</v>
      </c>
      <c r="B40" s="168">
        <v>2.87E-2</v>
      </c>
      <c r="C40" s="153">
        <f t="shared" si="0"/>
        <v>37241.033900000002</v>
      </c>
      <c r="D40" s="171" t="s">
        <v>282</v>
      </c>
      <c r="E40" s="171" t="s">
        <v>275</v>
      </c>
      <c r="F40" s="138"/>
      <c r="G40" s="134"/>
      <c r="H40" s="175"/>
      <c r="J40" s="175"/>
    </row>
    <row r="41" spans="1:10" x14ac:dyDescent="0.25">
      <c r="A41" s="139" t="s">
        <v>285</v>
      </c>
      <c r="B41" s="168">
        <v>4.7000000000000002E-3</v>
      </c>
      <c r="C41" s="153">
        <f t="shared" si="0"/>
        <v>6098.7058999999999</v>
      </c>
      <c r="D41" s="171" t="s">
        <v>264</v>
      </c>
      <c r="E41" s="171" t="s">
        <v>265</v>
      </c>
      <c r="F41" s="138"/>
      <c r="G41" s="134"/>
    </row>
    <row r="42" spans="1:10" x14ac:dyDescent="0.25">
      <c r="A42" s="169" t="s">
        <v>286</v>
      </c>
      <c r="B42" s="168"/>
      <c r="C42" s="153">
        <f t="shared" si="0"/>
        <v>0</v>
      </c>
      <c r="D42" s="171" t="s">
        <v>282</v>
      </c>
      <c r="E42" s="171" t="s">
        <v>269</v>
      </c>
      <c r="F42" s="138"/>
      <c r="G42" s="134"/>
    </row>
    <row r="43" spans="1:10" ht="45" x14ac:dyDescent="0.25">
      <c r="A43" s="169" t="s">
        <v>287</v>
      </c>
      <c r="B43" s="168"/>
      <c r="C43" s="153">
        <f t="shared" si="0"/>
        <v>0</v>
      </c>
      <c r="D43" s="171" t="s">
        <v>282</v>
      </c>
      <c r="E43" s="171" t="s">
        <v>269</v>
      </c>
      <c r="F43" s="138"/>
      <c r="G43" s="134"/>
    </row>
    <row r="44" spans="1:10" x14ac:dyDescent="0.25">
      <c r="A44" s="169" t="s">
        <v>288</v>
      </c>
      <c r="B44" s="168"/>
      <c r="C44" s="153">
        <f t="shared" si="0"/>
        <v>0</v>
      </c>
      <c r="D44" s="171" t="s">
        <v>282</v>
      </c>
      <c r="E44" s="171" t="s">
        <v>269</v>
      </c>
      <c r="F44" s="138"/>
      <c r="G44" s="134"/>
    </row>
    <row r="45" spans="1:10" ht="30" x14ac:dyDescent="0.25">
      <c r="A45" s="169" t="s">
        <v>289</v>
      </c>
      <c r="B45" s="168"/>
      <c r="C45" s="153">
        <f t="shared" si="0"/>
        <v>0</v>
      </c>
      <c r="D45" s="171" t="s">
        <v>282</v>
      </c>
      <c r="E45" s="171" t="s">
        <v>269</v>
      </c>
      <c r="F45" s="138"/>
      <c r="G45" s="134"/>
    </row>
    <row r="46" spans="1:10" ht="30" x14ac:dyDescent="0.25">
      <c r="A46" s="169" t="s">
        <v>290</v>
      </c>
      <c r="B46" s="168"/>
      <c r="C46" s="153">
        <f t="shared" si="0"/>
        <v>0</v>
      </c>
      <c r="D46" s="171" t="s">
        <v>282</v>
      </c>
      <c r="E46" s="171" t="s">
        <v>269</v>
      </c>
      <c r="F46" s="138"/>
      <c r="G46" s="134"/>
    </row>
    <row r="47" spans="1:10" x14ac:dyDescent="0.25">
      <c r="A47" s="169" t="s">
        <v>291</v>
      </c>
      <c r="B47" s="170"/>
      <c r="C47" s="153">
        <f t="shared" si="0"/>
        <v>0</v>
      </c>
      <c r="D47" s="171" t="s">
        <v>282</v>
      </c>
      <c r="E47" s="171" t="s">
        <v>269</v>
      </c>
      <c r="F47" s="138"/>
      <c r="G47" s="134"/>
    </row>
    <row r="48" spans="1:10" x14ac:dyDescent="0.25">
      <c r="A48" s="169" t="s">
        <v>292</v>
      </c>
      <c r="B48" s="170"/>
      <c r="C48" s="153">
        <f t="shared" si="0"/>
        <v>0</v>
      </c>
      <c r="D48" s="171" t="s">
        <v>282</v>
      </c>
      <c r="E48" s="171" t="s">
        <v>269</v>
      </c>
      <c r="F48" s="138"/>
      <c r="G48" s="134"/>
    </row>
    <row r="49" spans="1:8" x14ac:dyDescent="0.25">
      <c r="A49" s="176" t="s">
        <v>293</v>
      </c>
      <c r="B49" s="168">
        <v>4.6699999999999998E-2</v>
      </c>
      <c r="C49" s="153">
        <f t="shared" si="0"/>
        <v>60597.779900000001</v>
      </c>
      <c r="D49" s="171" t="s">
        <v>282</v>
      </c>
      <c r="E49" s="171" t="s">
        <v>275</v>
      </c>
      <c r="F49" s="138" t="s">
        <v>294</v>
      </c>
      <c r="G49" s="134"/>
    </row>
    <row r="50" spans="1:8" x14ac:dyDescent="0.25">
      <c r="A50" s="139" t="s">
        <v>295</v>
      </c>
      <c r="B50" s="168">
        <v>5.1999999999999998E-2</v>
      </c>
      <c r="C50" s="153">
        <f t="shared" si="0"/>
        <v>67475.043999999994</v>
      </c>
      <c r="D50" s="171" t="s">
        <v>282</v>
      </c>
      <c r="E50" s="171" t="s">
        <v>265</v>
      </c>
      <c r="F50" s="138"/>
      <c r="G50" s="134"/>
    </row>
    <row r="51" spans="1:8" x14ac:dyDescent="0.25">
      <c r="A51" s="139" t="s">
        <v>296</v>
      </c>
      <c r="B51" s="168">
        <v>2.2800000000000001E-2</v>
      </c>
      <c r="C51" s="153">
        <f t="shared" si="0"/>
        <v>29585.211600000002</v>
      </c>
      <c r="D51" s="171" t="s">
        <v>282</v>
      </c>
      <c r="E51" s="171" t="s">
        <v>265</v>
      </c>
      <c r="F51" s="138"/>
      <c r="G51" s="134"/>
    </row>
    <row r="52" spans="1:8" x14ac:dyDescent="0.25">
      <c r="A52" s="169" t="s">
        <v>297</v>
      </c>
      <c r="B52" s="170"/>
      <c r="C52" s="153">
        <f t="shared" si="0"/>
        <v>0</v>
      </c>
      <c r="D52" s="171" t="s">
        <v>282</v>
      </c>
      <c r="E52" s="171" t="s">
        <v>269</v>
      </c>
      <c r="F52" s="138"/>
      <c r="G52" s="134"/>
    </row>
    <row r="53" spans="1:8" x14ac:dyDescent="0.25">
      <c r="A53" s="169" t="s">
        <v>298</v>
      </c>
      <c r="B53" s="170"/>
      <c r="C53" s="153">
        <f t="shared" si="0"/>
        <v>0</v>
      </c>
      <c r="D53" s="171" t="s">
        <v>282</v>
      </c>
      <c r="E53" s="171" t="s">
        <v>269</v>
      </c>
      <c r="F53" s="138"/>
      <c r="G53" s="134"/>
    </row>
    <row r="54" spans="1:8" x14ac:dyDescent="0.25">
      <c r="A54" s="176" t="s">
        <v>299</v>
      </c>
      <c r="B54" s="168">
        <v>1.26E-2</v>
      </c>
      <c r="C54" s="153">
        <f>B54*$B$12</f>
        <v>16349.7222</v>
      </c>
      <c r="D54" s="171"/>
      <c r="E54" s="171" t="s">
        <v>275</v>
      </c>
      <c r="F54" s="138"/>
      <c r="G54" s="134"/>
    </row>
    <row r="55" spans="1:8" x14ac:dyDescent="0.25">
      <c r="A55" s="139" t="s">
        <v>300</v>
      </c>
      <c r="B55" s="168">
        <v>2.0000000000000001E-4</v>
      </c>
      <c r="C55" s="153">
        <f t="shared" si="0"/>
        <v>259.51940000000002</v>
      </c>
      <c r="D55" s="171" t="s">
        <v>282</v>
      </c>
      <c r="E55" s="171" t="s">
        <v>265</v>
      </c>
      <c r="F55" s="138"/>
      <c r="G55" s="134"/>
    </row>
    <row r="56" spans="1:8" x14ac:dyDescent="0.25">
      <c r="A56" s="169" t="s">
        <v>301</v>
      </c>
      <c r="B56" s="170" t="s">
        <v>273</v>
      </c>
      <c r="C56" s="153">
        <f t="shared" si="0"/>
        <v>0</v>
      </c>
      <c r="D56" s="171" t="s">
        <v>302</v>
      </c>
      <c r="E56" s="171" t="s">
        <v>269</v>
      </c>
      <c r="F56" s="138" t="s">
        <v>303</v>
      </c>
      <c r="G56" s="134"/>
    </row>
    <row r="57" spans="1:8" x14ac:dyDescent="0.25">
      <c r="A57" s="139" t="s">
        <v>304</v>
      </c>
      <c r="B57" s="168">
        <v>2.12E-2</v>
      </c>
      <c r="C57" s="153">
        <f t="shared" si="0"/>
        <v>27509.056400000001</v>
      </c>
      <c r="D57" s="171" t="s">
        <v>305</v>
      </c>
      <c r="E57" s="171" t="s">
        <v>265</v>
      </c>
      <c r="F57" s="138"/>
      <c r="G57" s="134"/>
    </row>
    <row r="58" spans="1:8" x14ac:dyDescent="0.25">
      <c r="A58" s="169" t="s">
        <v>306</v>
      </c>
      <c r="B58" s="170"/>
      <c r="C58" s="153">
        <f t="shared" si="0"/>
        <v>0</v>
      </c>
      <c r="D58" s="171" t="s">
        <v>307</v>
      </c>
      <c r="E58" s="171" t="s">
        <v>269</v>
      </c>
      <c r="F58" s="138" t="s">
        <v>308</v>
      </c>
      <c r="G58" s="134"/>
      <c r="H58" s="175"/>
    </row>
    <row r="59" spans="1:8" x14ac:dyDescent="0.25">
      <c r="A59" s="176" t="s">
        <v>309</v>
      </c>
      <c r="B59" s="168">
        <v>2.23E-2</v>
      </c>
      <c r="C59" s="153">
        <f>B59*$B$12</f>
        <v>28936.413100000002</v>
      </c>
      <c r="D59" s="171" t="s">
        <v>305</v>
      </c>
      <c r="E59" s="171" t="s">
        <v>275</v>
      </c>
      <c r="F59" s="138"/>
      <c r="G59" s="134"/>
    </row>
    <row r="60" spans="1:8" x14ac:dyDescent="0.25">
      <c r="A60" s="169" t="s">
        <v>310</v>
      </c>
      <c r="B60" s="170"/>
      <c r="C60" s="153">
        <f t="shared" si="0"/>
        <v>0</v>
      </c>
      <c r="D60" s="171" t="s">
        <v>305</v>
      </c>
      <c r="E60" s="171" t="s">
        <v>269</v>
      </c>
      <c r="F60" s="138"/>
      <c r="G60" s="134"/>
    </row>
    <row r="61" spans="1:8" x14ac:dyDescent="0.25">
      <c r="A61" s="139" t="s">
        <v>311</v>
      </c>
      <c r="B61" s="168">
        <v>5.4000000000000003E-3</v>
      </c>
      <c r="C61" s="153">
        <f t="shared" si="0"/>
        <v>7007.0237999999999</v>
      </c>
      <c r="D61" s="171" t="s">
        <v>264</v>
      </c>
      <c r="E61" s="171" t="s">
        <v>269</v>
      </c>
      <c r="F61" s="138"/>
      <c r="G61" s="134"/>
    </row>
    <row r="62" spans="1:8" ht="15.75" thickBot="1" x14ac:dyDescent="0.3">
      <c r="A62" s="177" t="s">
        <v>312</v>
      </c>
      <c r="B62" s="178">
        <v>3.9899999999999998E-2</v>
      </c>
      <c r="C62" s="179">
        <f t="shared" si="0"/>
        <v>51774.120299999995</v>
      </c>
      <c r="D62" s="180" t="s">
        <v>264</v>
      </c>
      <c r="E62" s="180" t="s">
        <v>269</v>
      </c>
      <c r="F62" s="181"/>
      <c r="G62" s="134"/>
    </row>
    <row r="63" spans="1:8" ht="26.25" customHeight="1" x14ac:dyDescent="0.25">
      <c r="A63" s="141" t="s">
        <v>313</v>
      </c>
      <c r="B63" s="182">
        <f>SUM(B26:B62)</f>
        <v>0.34489999999999998</v>
      </c>
      <c r="C63" s="183">
        <f t="shared" si="0"/>
        <v>447541.20529999997</v>
      </c>
      <c r="D63" s="184"/>
      <c r="E63" s="184"/>
      <c r="F63" s="134"/>
      <c r="G63" s="134"/>
    </row>
    <row r="65" spans="1:42" ht="25.5" customHeight="1" x14ac:dyDescent="0.25">
      <c r="A65" s="249" t="s">
        <v>314</v>
      </c>
      <c r="B65" s="249"/>
      <c r="C65" s="249"/>
      <c r="D65" s="249"/>
      <c r="E65" s="250"/>
    </row>
    <row r="66" spans="1:42" ht="30" x14ac:dyDescent="0.25">
      <c r="A66" s="185" t="s">
        <v>315</v>
      </c>
      <c r="B66" s="151">
        <v>0</v>
      </c>
      <c r="C66" s="145" t="s">
        <v>316</v>
      </c>
      <c r="D66" s="134"/>
    </row>
    <row r="67" spans="1:42" ht="30" x14ac:dyDescent="0.25">
      <c r="A67" s="139" t="s">
        <v>317</v>
      </c>
      <c r="B67" s="144">
        <f>5440+698+1465+5801</f>
        <v>13404</v>
      </c>
      <c r="C67" s="219" t="s">
        <v>318</v>
      </c>
      <c r="D67" s="134"/>
    </row>
    <row r="68" spans="1:42" x14ac:dyDescent="0.25">
      <c r="A68" s="186"/>
    </row>
    <row r="69" spans="1:42" ht="34.5" customHeight="1" x14ac:dyDescent="0.25">
      <c r="A69" s="247" t="s">
        <v>319</v>
      </c>
      <c r="B69" s="247"/>
      <c r="C69" s="247"/>
      <c r="D69" s="247"/>
      <c r="E69" s="248"/>
      <c r="F69" s="184"/>
      <c r="G69" s="184"/>
      <c r="H69" s="184"/>
      <c r="I69" s="184"/>
      <c r="J69" s="184"/>
    </row>
    <row r="70" spans="1:42" x14ac:dyDescent="0.25">
      <c r="A70" s="187" t="s">
        <v>320</v>
      </c>
      <c r="B70" s="153">
        <f>B63*B12</f>
        <v>447541.20529999997</v>
      </c>
      <c r="C70" s="153"/>
      <c r="D70" s="153"/>
      <c r="E70" s="153"/>
      <c r="F70" s="153"/>
      <c r="G70" s="153"/>
      <c r="H70" s="153"/>
      <c r="I70" s="153"/>
      <c r="J70" s="153"/>
    </row>
    <row r="71" spans="1:42" x14ac:dyDescent="0.25">
      <c r="A71" s="188" t="s">
        <v>321</v>
      </c>
      <c r="B71" s="153">
        <f>B16</f>
        <v>13404</v>
      </c>
      <c r="C71" s="153"/>
      <c r="D71" s="153"/>
      <c r="E71" s="153"/>
      <c r="F71" s="153"/>
      <c r="G71" s="153"/>
      <c r="H71" s="153"/>
      <c r="I71" s="153"/>
      <c r="J71" s="153"/>
    </row>
    <row r="72" spans="1:42" x14ac:dyDescent="0.25">
      <c r="A72" s="188" t="s">
        <v>322</v>
      </c>
      <c r="B72" s="153">
        <f>SUM(B70:J71)</f>
        <v>460945.20529999997</v>
      </c>
      <c r="C72" s="153"/>
      <c r="D72" s="153"/>
      <c r="E72" s="153"/>
      <c r="F72" s="153"/>
      <c r="G72" s="153"/>
      <c r="H72" s="153"/>
      <c r="I72" s="153"/>
      <c r="J72" s="153"/>
    </row>
    <row r="73" spans="1:42" x14ac:dyDescent="0.25">
      <c r="A73" s="186"/>
    </row>
    <row r="74" spans="1:42" ht="30" customHeight="1" x14ac:dyDescent="0.25">
      <c r="A74" s="241" t="s">
        <v>323</v>
      </c>
      <c r="B74" s="241"/>
      <c r="C74" s="241"/>
      <c r="D74" s="241"/>
      <c r="E74" s="242"/>
      <c r="F74" s="137"/>
      <c r="G74" s="137"/>
      <c r="H74" s="137"/>
      <c r="I74" s="137"/>
      <c r="J74" s="137"/>
      <c r="K74" s="137"/>
      <c r="L74" s="137"/>
      <c r="M74" s="137"/>
      <c r="N74" s="137"/>
      <c r="O74" s="137"/>
      <c r="P74" s="137"/>
      <c r="Q74" s="137"/>
      <c r="R74" s="137"/>
      <c r="S74" s="137"/>
      <c r="T74" s="137"/>
      <c r="U74" s="137"/>
      <c r="V74" s="137"/>
      <c r="W74" s="137"/>
      <c r="X74" s="137"/>
      <c r="Y74" s="134"/>
      <c r="Z74" s="134"/>
      <c r="AA74" s="134"/>
      <c r="AB74" s="134"/>
      <c r="AC74" s="138"/>
      <c r="AD74" s="134"/>
      <c r="AE74" s="134"/>
      <c r="AF74" s="134"/>
      <c r="AG74" s="134"/>
      <c r="AH74" s="134"/>
      <c r="AI74" s="134"/>
      <c r="AJ74" s="134"/>
      <c r="AK74" s="134"/>
      <c r="AL74" s="134"/>
      <c r="AM74" s="134"/>
      <c r="AN74" s="134"/>
      <c r="AO74" s="134"/>
      <c r="AP74" s="134"/>
    </row>
    <row r="75" spans="1:42" x14ac:dyDescent="0.25">
      <c r="A75" s="187" t="s">
        <v>324</v>
      </c>
      <c r="B75" s="153">
        <f>B8</f>
        <v>1641869</v>
      </c>
      <c r="C75" s="153"/>
      <c r="D75" s="153"/>
      <c r="E75" s="153"/>
      <c r="F75" s="153"/>
      <c r="G75" s="153"/>
      <c r="H75" s="153"/>
      <c r="I75" s="153"/>
      <c r="J75" s="153"/>
      <c r="O75" s="189"/>
      <c r="S75" s="152"/>
      <c r="T75" s="152"/>
      <c r="U75" s="152"/>
      <c r="V75" s="152"/>
      <c r="W75" s="152"/>
      <c r="X75" s="152"/>
      <c r="Y75" s="152"/>
      <c r="Z75" s="152"/>
      <c r="AA75" s="152"/>
      <c r="AB75" s="152"/>
    </row>
    <row r="76" spans="1:42" x14ac:dyDescent="0.25">
      <c r="A76" s="188" t="s">
        <v>325</v>
      </c>
      <c r="B76" s="153">
        <f>B9</f>
        <v>1654555</v>
      </c>
      <c r="C76" s="153"/>
      <c r="D76" s="153"/>
      <c r="E76" s="153"/>
      <c r="F76" s="153"/>
      <c r="G76" s="153"/>
      <c r="H76" s="153"/>
      <c r="I76" s="153"/>
      <c r="J76" s="153"/>
      <c r="O76" s="189"/>
      <c r="S76" s="152"/>
      <c r="T76" s="152"/>
      <c r="U76" s="152"/>
      <c r="V76" s="152"/>
      <c r="W76" s="152"/>
      <c r="X76" s="152"/>
      <c r="Y76" s="152"/>
      <c r="Z76" s="152"/>
      <c r="AA76" s="152"/>
      <c r="AB76" s="152"/>
    </row>
    <row r="77" spans="1:42" x14ac:dyDescent="0.25">
      <c r="A77" s="188" t="s">
        <v>326</v>
      </c>
      <c r="B77" s="153">
        <f>B72</f>
        <v>460945.20529999997</v>
      </c>
      <c r="C77" s="153"/>
      <c r="D77" s="153"/>
      <c r="E77" s="153"/>
      <c r="F77" s="153"/>
      <c r="G77" s="153"/>
      <c r="H77" s="153"/>
      <c r="I77" s="153"/>
      <c r="J77" s="153"/>
      <c r="O77" s="189"/>
      <c r="S77" s="152"/>
      <c r="T77" s="152"/>
      <c r="U77" s="152"/>
      <c r="V77" s="152"/>
      <c r="W77" s="152"/>
      <c r="X77" s="152"/>
      <c r="Y77" s="152"/>
      <c r="Z77" s="152"/>
      <c r="AA77" s="152"/>
      <c r="AB77" s="152"/>
    </row>
    <row r="78" spans="1:42" x14ac:dyDescent="0.25">
      <c r="A78" s="188" t="s">
        <v>327</v>
      </c>
      <c r="B78" s="190">
        <f>B77/B75</f>
        <v>0.28074420389202792</v>
      </c>
      <c r="C78" s="191"/>
      <c r="D78" s="191"/>
      <c r="E78" s="191"/>
      <c r="F78" s="191"/>
      <c r="G78" s="191"/>
      <c r="H78" s="191"/>
      <c r="I78" s="191"/>
      <c r="J78" s="191"/>
      <c r="O78" s="189"/>
      <c r="S78" s="152"/>
      <c r="T78" s="152"/>
      <c r="U78" s="152"/>
      <c r="V78" s="152"/>
      <c r="W78" s="152"/>
      <c r="X78" s="152"/>
      <c r="Y78" s="152"/>
      <c r="Z78" s="152"/>
      <c r="AA78" s="152"/>
      <c r="AB78" s="152"/>
    </row>
    <row r="79" spans="1:42" x14ac:dyDescent="0.25">
      <c r="A79" s="188" t="s">
        <v>328</v>
      </c>
      <c r="B79" s="192">
        <f>B78*B76</f>
        <v>464506.72627057426</v>
      </c>
      <c r="C79" s="153" t="s">
        <v>329</v>
      </c>
      <c r="D79" s="153"/>
      <c r="E79" s="153"/>
      <c r="F79" s="153"/>
      <c r="G79" s="153"/>
      <c r="H79" s="153"/>
      <c r="I79" s="153"/>
      <c r="J79" s="153"/>
      <c r="K79" s="193"/>
      <c r="L79" s="193"/>
      <c r="M79" s="193"/>
      <c r="N79" s="193"/>
      <c r="O79" s="193"/>
      <c r="P79" s="193"/>
      <c r="Q79" s="193"/>
      <c r="R79" s="193"/>
      <c r="S79" s="194"/>
      <c r="T79" s="194"/>
      <c r="U79" s="194"/>
      <c r="V79" s="194"/>
      <c r="W79" s="194"/>
      <c r="X79" s="194"/>
      <c r="Y79" s="134"/>
      <c r="Z79" s="134"/>
      <c r="AA79" s="134"/>
      <c r="AB79" s="134"/>
    </row>
    <row r="80" spans="1:42" x14ac:dyDescent="0.25">
      <c r="A80" s="188" t="s">
        <v>330</v>
      </c>
      <c r="B80" s="191">
        <v>0.75</v>
      </c>
      <c r="C80" s="191"/>
      <c r="D80" s="191"/>
      <c r="E80" s="191"/>
      <c r="F80" s="191"/>
      <c r="G80" s="191"/>
      <c r="H80" s="191"/>
      <c r="I80" s="191"/>
      <c r="J80" s="191"/>
      <c r="O80" s="189"/>
      <c r="S80" s="152"/>
      <c r="T80" s="152"/>
      <c r="U80" s="152"/>
      <c r="V80" s="152"/>
      <c r="W80" s="152"/>
      <c r="X80" s="152"/>
      <c r="Y80" s="152"/>
      <c r="Z80" s="152"/>
      <c r="AA80" s="152"/>
      <c r="AB80" s="152"/>
    </row>
    <row r="81" spans="1:42" ht="36" customHeight="1" x14ac:dyDescent="0.25">
      <c r="A81" s="139" t="s">
        <v>331</v>
      </c>
      <c r="B81" s="153">
        <f>0.75*B79</f>
        <v>348380.04470293073</v>
      </c>
      <c r="C81" s="191" t="s">
        <v>332</v>
      </c>
      <c r="D81" s="191"/>
      <c r="E81" s="191"/>
      <c r="F81" s="191"/>
      <c r="G81" s="191"/>
      <c r="H81" s="191"/>
      <c r="I81" s="191"/>
      <c r="J81" s="191"/>
      <c r="O81" s="189"/>
      <c r="S81" s="152"/>
      <c r="T81" s="152"/>
      <c r="U81" s="152"/>
      <c r="V81" s="152"/>
      <c r="W81" s="152"/>
      <c r="X81" s="152"/>
      <c r="Y81" s="152"/>
      <c r="Z81" s="152"/>
      <c r="AA81" s="152"/>
      <c r="AB81" s="152"/>
    </row>
    <row r="82" spans="1:42" ht="15.75" thickBot="1" x14ac:dyDescent="0.3">
      <c r="A82" s="195" t="s">
        <v>333</v>
      </c>
      <c r="B82" s="196">
        <v>0.13</v>
      </c>
      <c r="C82" s="196"/>
      <c r="D82" s="196"/>
      <c r="E82" s="196"/>
      <c r="F82" s="197"/>
      <c r="G82" s="197"/>
      <c r="H82" s="197"/>
      <c r="I82" s="197"/>
      <c r="J82" s="197"/>
      <c r="O82" s="189"/>
      <c r="S82" s="152"/>
      <c r="T82" s="152"/>
      <c r="U82" s="152"/>
      <c r="V82" s="152"/>
      <c r="W82" s="152"/>
      <c r="X82" s="152"/>
      <c r="Y82" s="152"/>
      <c r="Z82" s="152"/>
      <c r="AA82" s="152"/>
      <c r="AB82" s="152"/>
    </row>
    <row r="83" spans="1:42" ht="36" customHeight="1" x14ac:dyDescent="0.25">
      <c r="A83" s="198" t="s">
        <v>334</v>
      </c>
      <c r="B83" s="199">
        <f>(B81/B76)*B82</f>
        <v>2.7372559879472728E-2</v>
      </c>
      <c r="C83" s="199" t="s">
        <v>335</v>
      </c>
      <c r="D83" s="199"/>
      <c r="E83" s="200"/>
      <c r="F83" s="201"/>
      <c r="G83" s="201"/>
      <c r="H83" s="201"/>
      <c r="I83" s="201"/>
      <c r="J83" s="201"/>
      <c r="O83" s="189"/>
      <c r="S83" s="152"/>
      <c r="T83" s="152"/>
      <c r="U83" s="152"/>
      <c r="V83" s="152"/>
      <c r="W83" s="152"/>
      <c r="X83" s="152"/>
      <c r="Y83" s="152"/>
      <c r="Z83" s="152"/>
      <c r="AA83" s="152"/>
      <c r="AB83" s="152"/>
    </row>
    <row r="84" spans="1:42" x14ac:dyDescent="0.25">
      <c r="AC84" s="189"/>
      <c r="AG84" s="152"/>
      <c r="AH84" s="152"/>
      <c r="AI84" s="152"/>
      <c r="AJ84" s="152"/>
      <c r="AK84" s="152"/>
      <c r="AL84" s="152"/>
      <c r="AM84" s="152"/>
      <c r="AN84" s="152"/>
      <c r="AO84" s="152"/>
      <c r="AP84" s="152"/>
    </row>
    <row r="85" spans="1:42" x14ac:dyDescent="0.25">
      <c r="AC85" s="189"/>
      <c r="AG85" s="152"/>
      <c r="AH85" s="152"/>
      <c r="AI85" s="152"/>
      <c r="AJ85" s="152"/>
      <c r="AK85" s="152"/>
      <c r="AL85" s="152"/>
      <c r="AM85" s="152"/>
      <c r="AN85" s="152"/>
      <c r="AO85" s="152"/>
      <c r="AP85" s="152"/>
    </row>
    <row r="86" spans="1:42" ht="15.75" x14ac:dyDescent="0.25">
      <c r="A86" s="202" t="s">
        <v>336</v>
      </c>
      <c r="B86" s="203" t="s">
        <v>337</v>
      </c>
      <c r="C86" s="203"/>
      <c r="D86" s="203"/>
      <c r="E86" s="203"/>
      <c r="F86" s="203"/>
      <c r="G86" s="203"/>
      <c r="H86" s="203"/>
      <c r="I86" s="203"/>
      <c r="J86" s="203"/>
      <c r="K86" s="203"/>
      <c r="L86" s="203"/>
      <c r="M86" s="203"/>
      <c r="N86" s="203"/>
      <c r="O86" s="203"/>
      <c r="P86" s="203"/>
      <c r="Q86" s="203"/>
      <c r="R86" s="203"/>
      <c r="S86" s="203"/>
      <c r="T86" s="203"/>
      <c r="U86" s="203"/>
      <c r="V86" s="203"/>
      <c r="W86" s="203"/>
      <c r="X86" s="203"/>
      <c r="Y86" s="204"/>
      <c r="Z86" s="204"/>
      <c r="AA86" s="204"/>
      <c r="AB86" s="204"/>
      <c r="AC86" s="204"/>
      <c r="AD86" s="204"/>
      <c r="AE86" s="204"/>
      <c r="AF86" s="205"/>
      <c r="AG86" s="152"/>
      <c r="AH86" s="152"/>
      <c r="AI86" s="152"/>
      <c r="AJ86" s="152"/>
      <c r="AK86" s="152"/>
      <c r="AL86" s="152"/>
      <c r="AM86" s="152"/>
      <c r="AN86" s="152"/>
      <c r="AO86" s="152"/>
      <c r="AP86" s="152"/>
    </row>
  </sheetData>
  <mergeCells count="6">
    <mergeCell ref="A74:E74"/>
    <mergeCell ref="A1:F1"/>
    <mergeCell ref="I18:N18"/>
    <mergeCell ref="A20:F20"/>
    <mergeCell ref="A65:E65"/>
    <mergeCell ref="A69:E69"/>
  </mergeCells>
  <hyperlinks>
    <hyperlink ref="C8" r:id="rId1" xr:uid="{50838E62-31C5-4433-932C-F8C37D47AF84}"/>
    <hyperlink ref="C9" r:id="rId2" display="2025 CA Dept of Finance projected" xr:uid="{4E1273BB-26D3-4A56-B5CE-CC350F638D19}"/>
    <hyperlink ref="C66" r:id="rId3" xr:uid="{763DA831-A753-4B81-9DE8-489CD9F3CC8F}"/>
    <hyperlink ref="B86" r:id="rId4" xr:uid="{280F9FF8-C418-4E50-ADB1-FCBB4BBFD3D0}"/>
    <hyperlink ref="C67" r:id="rId5" xr:uid="{F2C5B01C-8A58-426C-AE8F-C557AC9B5F27}"/>
    <hyperlink ref="C16" r:id="rId6" xr:uid="{14119BEF-9A65-4AC9-A699-7CCE7CDBFF2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G92"/>
  <sheetViews>
    <sheetView tabSelected="1" zoomScaleNormal="100" workbookViewId="0">
      <selection activeCell="B3" sqref="B3"/>
    </sheetView>
  </sheetViews>
  <sheetFormatPr defaultRowHeight="21.75" customHeight="1" x14ac:dyDescent="0.25"/>
  <cols>
    <col min="1" max="1" width="47.140625" style="21" bestFit="1" customWidth="1"/>
    <col min="2" max="2" width="24" style="20" bestFit="1" customWidth="1"/>
    <col min="3" max="3" width="23.7109375" style="22" customWidth="1"/>
    <col min="4" max="4" width="84.42578125" style="21" bestFit="1" customWidth="1"/>
    <col min="5" max="5" width="55.42578125" style="29" customWidth="1"/>
    <col min="6" max="6" width="21.85546875" style="21" customWidth="1"/>
    <col min="7" max="7" width="22.7109375" style="21" customWidth="1"/>
    <col min="8" max="16384" width="9.140625" style="21"/>
  </cols>
  <sheetData>
    <row r="1" spans="1:7" ht="72" customHeight="1" x14ac:dyDescent="0.25">
      <c r="A1" s="228" t="s">
        <v>369</v>
      </c>
      <c r="B1" s="229"/>
      <c r="C1" s="229"/>
      <c r="D1" s="229"/>
      <c r="E1" s="229"/>
      <c r="F1" s="230"/>
      <c r="G1" s="231"/>
    </row>
    <row r="2" spans="1:7" ht="21.75" customHeight="1" x14ac:dyDescent="0.25">
      <c r="B2" s="47"/>
      <c r="C2" s="48" t="s">
        <v>79</v>
      </c>
      <c r="D2" s="30" t="s">
        <v>80</v>
      </c>
      <c r="E2" s="49" t="s">
        <v>84</v>
      </c>
      <c r="F2" s="42" t="s">
        <v>103</v>
      </c>
    </row>
    <row r="3" spans="1:7" ht="21.75" customHeight="1" x14ac:dyDescent="0.25">
      <c r="A3" s="30" t="s">
        <v>0</v>
      </c>
      <c r="B3" s="220" t="s">
        <v>2</v>
      </c>
      <c r="D3" s="63">
        <f>VLOOKUP($B$3,'Calc Ref Sheet'!1:1048576,37,FALSE)</f>
        <v>904632.3</v>
      </c>
      <c r="F3" s="25"/>
    </row>
    <row r="4" spans="1:7" ht="21.75" customHeight="1" x14ac:dyDescent="0.25">
      <c r="A4" s="30" t="s">
        <v>76</v>
      </c>
      <c r="B4" s="23">
        <f>VLOOKUP($B$3,'Calc Ref Sheet'!1:1048576,2,FALSE)</f>
        <v>138450</v>
      </c>
      <c r="F4" s="25"/>
    </row>
    <row r="5" spans="1:7" ht="21.75" customHeight="1" x14ac:dyDescent="0.25">
      <c r="A5" s="30" t="s">
        <v>77</v>
      </c>
      <c r="B5" s="24">
        <f>B4*0.027</f>
        <v>3738.15</v>
      </c>
      <c r="F5" s="25"/>
    </row>
    <row r="6" spans="1:7" ht="21.75" customHeight="1" x14ac:dyDescent="0.25">
      <c r="A6" s="30" t="s">
        <v>85</v>
      </c>
      <c r="B6" s="23">
        <f>B36+B46+B73+B77+B79+B90+B54+B68</f>
        <v>0</v>
      </c>
      <c r="C6" s="22">
        <f>SUM(C34+C45+C72+C76+C78+C90)</f>
        <v>0</v>
      </c>
      <c r="F6" s="25"/>
    </row>
    <row r="7" spans="1:7" ht="21.75" customHeight="1" x14ac:dyDescent="0.25">
      <c r="A7" s="31" t="s">
        <v>172</v>
      </c>
      <c r="B7" s="112">
        <f>B37+B47+B80+B92</f>
        <v>0</v>
      </c>
      <c r="C7" s="54"/>
      <c r="F7" s="25"/>
    </row>
    <row r="8" spans="1:7" ht="21.75" customHeight="1" x14ac:dyDescent="0.25">
      <c r="A8" s="31" t="s">
        <v>86</v>
      </c>
      <c r="B8" s="57">
        <f>B5-B6</f>
        <v>3738.15</v>
      </c>
      <c r="C8" s="54" t="s">
        <v>110</v>
      </c>
      <c r="F8" s="25"/>
    </row>
    <row r="9" spans="1:7" ht="21.75" hidden="1" customHeight="1" x14ac:dyDescent="0.25">
      <c r="A9" s="59" t="s">
        <v>145</v>
      </c>
      <c r="B9" s="58">
        <f>(1-(G16/100))*B8*0.58</f>
        <v>2168.127</v>
      </c>
      <c r="C9" s="26"/>
      <c r="D9" s="21" t="s">
        <v>147</v>
      </c>
    </row>
    <row r="10" spans="1:7" ht="21.75" hidden="1" customHeight="1" x14ac:dyDescent="0.25">
      <c r="A10" s="31" t="s">
        <v>146</v>
      </c>
      <c r="B10" s="53">
        <f>G16/100*B8</f>
        <v>0</v>
      </c>
      <c r="D10" s="21" t="s">
        <v>148</v>
      </c>
    </row>
    <row r="11" spans="1:7" ht="21.75" customHeight="1" x14ac:dyDescent="0.25">
      <c r="A11" s="31" t="s">
        <v>181</v>
      </c>
      <c r="B11" s="53">
        <f>B5*1.45</f>
        <v>5420.3175000000001</v>
      </c>
      <c r="C11" s="54">
        <f>B11*B18</f>
        <v>0</v>
      </c>
      <c r="D11" s="55" t="s">
        <v>185</v>
      </c>
    </row>
    <row r="12" spans="1:7" ht="21.75" customHeight="1" x14ac:dyDescent="0.25">
      <c r="A12" s="31" t="s">
        <v>184</v>
      </c>
      <c r="B12" s="53">
        <f>B5*2000/600</f>
        <v>12460.5</v>
      </c>
      <c r="C12" s="54">
        <f>B12*B19</f>
        <v>0</v>
      </c>
      <c r="D12" s="55" t="s">
        <v>186</v>
      </c>
    </row>
    <row r="13" spans="1:7" ht="21.75" customHeight="1" x14ac:dyDescent="0.25">
      <c r="A13" s="31" t="s">
        <v>374</v>
      </c>
      <c r="B13" s="53">
        <f>(B5*0.1)</f>
        <v>373.81500000000005</v>
      </c>
      <c r="C13" s="54"/>
      <c r="D13" s="55" t="s">
        <v>377</v>
      </c>
    </row>
    <row r="14" spans="1:7" ht="21.75" customHeight="1" x14ac:dyDescent="0.25">
      <c r="A14" s="31" t="s">
        <v>375</v>
      </c>
      <c r="B14" s="215">
        <f>(B5*0.1)*21.38</f>
        <v>7992.1647000000012</v>
      </c>
      <c r="C14" s="54"/>
      <c r="D14" s="55" t="s">
        <v>376</v>
      </c>
    </row>
    <row r="15" spans="1:7" ht="21.75" customHeight="1" x14ac:dyDescent="0.25">
      <c r="A15" s="31" t="s">
        <v>378</v>
      </c>
      <c r="B15" s="216">
        <f>B5*0.2</f>
        <v>747.63000000000011</v>
      </c>
      <c r="C15" s="54"/>
      <c r="D15" s="55"/>
    </row>
    <row r="16" spans="1:7" ht="21.75" customHeight="1" x14ac:dyDescent="0.25">
      <c r="A16" s="31" t="s">
        <v>182</v>
      </c>
      <c r="B16" s="53">
        <f>(B5-B6)*1.45</f>
        <v>5420.3175000000001</v>
      </c>
      <c r="C16" s="54">
        <f>B16*B18</f>
        <v>0</v>
      </c>
      <c r="D16" s="55" t="s">
        <v>152</v>
      </c>
    </row>
    <row r="17" spans="1:7" ht="21.75" customHeight="1" x14ac:dyDescent="0.25">
      <c r="A17" s="31" t="s">
        <v>183</v>
      </c>
      <c r="B17" s="53">
        <f>(B5-B6)*(2000/473)</f>
        <v>15806.131078224102</v>
      </c>
      <c r="C17" s="54">
        <f>B17*B19</f>
        <v>0</v>
      </c>
      <c r="D17" s="217" t="s">
        <v>379</v>
      </c>
    </row>
    <row r="18" spans="1:7" ht="21.75" customHeight="1" x14ac:dyDescent="0.25">
      <c r="A18" s="59" t="s">
        <v>150</v>
      </c>
      <c r="B18" s="67"/>
      <c r="C18" s="61"/>
      <c r="D18" s="62" t="s">
        <v>176</v>
      </c>
      <c r="E18" s="45"/>
    </row>
    <row r="19" spans="1:7" ht="21.75" customHeight="1" x14ac:dyDescent="0.25">
      <c r="A19" s="59" t="s">
        <v>149</v>
      </c>
      <c r="B19" s="67"/>
      <c r="C19" s="61"/>
      <c r="D19" s="62" t="s">
        <v>176</v>
      </c>
      <c r="E19" s="45"/>
    </row>
    <row r="20" spans="1:7" ht="21.75" customHeight="1" x14ac:dyDescent="0.25">
      <c r="A20" s="79" t="s">
        <v>156</v>
      </c>
      <c r="B20" s="65"/>
      <c r="C20" s="78">
        <f>SUM(C16:C17)</f>
        <v>0</v>
      </c>
      <c r="D20" s="55"/>
    </row>
    <row r="21" spans="1:7" ht="21.75" customHeight="1" x14ac:dyDescent="0.25">
      <c r="A21" s="60"/>
      <c r="B21" s="66"/>
      <c r="C21" s="64"/>
      <c r="D21" s="62"/>
      <c r="E21" s="45"/>
    </row>
    <row r="22" spans="1:7" ht="21.75" customHeight="1" x14ac:dyDescent="0.25">
      <c r="A22" s="43" t="s">
        <v>82</v>
      </c>
      <c r="B22" s="44">
        <f>365-(B6/(B5/365))</f>
        <v>365</v>
      </c>
      <c r="C22" s="26">
        <f>B22*500</f>
        <v>182500</v>
      </c>
      <c r="D22" s="27" t="s">
        <v>154</v>
      </c>
      <c r="E22" s="45"/>
    </row>
    <row r="23" spans="1:7" ht="21.75" customHeight="1" x14ac:dyDescent="0.25">
      <c r="A23" s="30" t="s">
        <v>83</v>
      </c>
      <c r="B23" s="23">
        <f>365-(B6/(B5/365))</f>
        <v>365</v>
      </c>
      <c r="C23" s="22">
        <f>B23*10000</f>
        <v>3650000</v>
      </c>
      <c r="D23" s="21" t="s">
        <v>155</v>
      </c>
    </row>
    <row r="24" spans="1:7" ht="27.75" customHeight="1" x14ac:dyDescent="0.25">
      <c r="A24" s="39" t="s">
        <v>97</v>
      </c>
      <c r="B24" s="56"/>
      <c r="C24" s="40"/>
      <c r="D24" s="40"/>
      <c r="E24" s="40"/>
      <c r="F24" s="40"/>
      <c r="G24" s="41"/>
    </row>
    <row r="25" spans="1:7" ht="21.75" customHeight="1" x14ac:dyDescent="0.25">
      <c r="A25" s="33" t="s">
        <v>447</v>
      </c>
      <c r="B25" s="114"/>
      <c r="C25" s="22">
        <f>B25*$B$18</f>
        <v>0</v>
      </c>
      <c r="D25" s="21" t="s">
        <v>343</v>
      </c>
      <c r="E25" s="208"/>
    </row>
    <row r="26" spans="1:7" ht="21.75" customHeight="1" x14ac:dyDescent="0.25">
      <c r="A26" s="33" t="s">
        <v>448</v>
      </c>
      <c r="B26" s="114"/>
      <c r="C26" s="22">
        <f t="shared" ref="C26:C32" si="0">B26*$B$18</f>
        <v>0</v>
      </c>
      <c r="D26" s="21" t="s">
        <v>344</v>
      </c>
      <c r="E26" s="208"/>
    </row>
    <row r="27" spans="1:7" ht="21.75" customHeight="1" x14ac:dyDescent="0.25">
      <c r="A27" s="33" t="s">
        <v>449</v>
      </c>
      <c r="B27" s="114"/>
      <c r="C27" s="22">
        <f t="shared" si="0"/>
        <v>0</v>
      </c>
      <c r="D27" s="21" t="s">
        <v>345</v>
      </c>
      <c r="E27" s="208"/>
    </row>
    <row r="28" spans="1:7" ht="22.5" customHeight="1" x14ac:dyDescent="0.25">
      <c r="A28" s="33" t="s">
        <v>450</v>
      </c>
      <c r="B28" s="114"/>
      <c r="C28" s="22">
        <f t="shared" si="0"/>
        <v>0</v>
      </c>
      <c r="E28" s="208"/>
    </row>
    <row r="29" spans="1:7" ht="22.5" customHeight="1" x14ac:dyDescent="0.25">
      <c r="A29" s="33" t="s">
        <v>451</v>
      </c>
      <c r="B29" s="114"/>
      <c r="C29" s="22">
        <f t="shared" si="0"/>
        <v>0</v>
      </c>
      <c r="E29" s="208"/>
    </row>
    <row r="30" spans="1:7" ht="22.5" customHeight="1" x14ac:dyDescent="0.25">
      <c r="A30" s="33" t="s">
        <v>452</v>
      </c>
      <c r="B30" s="114"/>
      <c r="C30" s="22">
        <f t="shared" si="0"/>
        <v>0</v>
      </c>
      <c r="E30" s="208"/>
    </row>
    <row r="31" spans="1:7" ht="22.5" customHeight="1" x14ac:dyDescent="0.25">
      <c r="A31" s="33" t="s">
        <v>453</v>
      </c>
      <c r="B31" s="114"/>
      <c r="C31" s="22">
        <f t="shared" si="0"/>
        <v>0</v>
      </c>
      <c r="E31" s="208"/>
    </row>
    <row r="32" spans="1:7" ht="21.75" customHeight="1" x14ac:dyDescent="0.25">
      <c r="A32" s="34" t="s">
        <v>445</v>
      </c>
      <c r="B32" s="114"/>
      <c r="C32" s="22">
        <f t="shared" si="0"/>
        <v>0</v>
      </c>
      <c r="D32" s="21" t="s">
        <v>446</v>
      </c>
      <c r="E32" s="208"/>
    </row>
    <row r="33" spans="1:7" ht="21.75" customHeight="1" x14ac:dyDescent="0.25">
      <c r="A33" s="34" t="s">
        <v>78</v>
      </c>
      <c r="B33" s="114"/>
      <c r="C33" s="22">
        <f t="shared" ref="C33" si="1">B33*$B$18</f>
        <v>0</v>
      </c>
      <c r="D33" s="21" t="s">
        <v>99</v>
      </c>
      <c r="E33" s="208"/>
    </row>
    <row r="34" spans="1:7" ht="21.75" customHeight="1" x14ac:dyDescent="0.25">
      <c r="A34" s="30" t="s">
        <v>81</v>
      </c>
      <c r="B34" s="23">
        <f>SUM(B25:B32)</f>
        <v>0</v>
      </c>
      <c r="C34" s="22">
        <f>SUM(C25:C32)</f>
        <v>0</v>
      </c>
      <c r="E34" s="208"/>
    </row>
    <row r="35" spans="1:7" ht="21.75" customHeight="1" x14ac:dyDescent="0.25">
      <c r="A35" s="30" t="s">
        <v>458</v>
      </c>
      <c r="B35" s="114"/>
      <c r="C35" s="22">
        <f>SUM(C26:C33)</f>
        <v>0</v>
      </c>
      <c r="E35" s="208"/>
    </row>
    <row r="36" spans="1:7" ht="21.75" customHeight="1" x14ac:dyDescent="0.25">
      <c r="A36" s="30" t="s">
        <v>92</v>
      </c>
      <c r="B36" s="23">
        <f>(B34/1.45)+(B35/0.58)</f>
        <v>0</v>
      </c>
      <c r="D36" s="21" t="s">
        <v>342</v>
      </c>
      <c r="E36" s="208"/>
    </row>
    <row r="37" spans="1:7" ht="21.75" customHeight="1" x14ac:dyDescent="0.25">
      <c r="A37" s="49" t="s">
        <v>172</v>
      </c>
      <c r="B37" s="111">
        <f>B36/B5</f>
        <v>0</v>
      </c>
      <c r="C37" s="22">
        <f>B37*20.3</f>
        <v>0</v>
      </c>
      <c r="D37" s="36" t="s">
        <v>108</v>
      </c>
      <c r="E37" s="37"/>
      <c r="F37" s="32">
        <f>B37/70</f>
        <v>0</v>
      </c>
    </row>
    <row r="38" spans="1:7" ht="21.75" customHeight="1" x14ac:dyDescent="0.25">
      <c r="A38" s="210"/>
      <c r="B38" s="36"/>
      <c r="C38" s="36"/>
      <c r="D38" s="36"/>
      <c r="E38" s="25"/>
    </row>
    <row r="39" spans="1:7" ht="30.75" customHeight="1" x14ac:dyDescent="0.25">
      <c r="A39" s="232" t="s">
        <v>384</v>
      </c>
      <c r="B39" s="233"/>
      <c r="C39" s="233"/>
      <c r="D39" s="233"/>
      <c r="E39" s="233"/>
      <c r="F39" s="233"/>
      <c r="G39" s="234"/>
    </row>
    <row r="40" spans="1:7" ht="21.75" customHeight="1" x14ac:dyDescent="0.25">
      <c r="A40" s="33" t="s">
        <v>87</v>
      </c>
      <c r="B40" s="114"/>
      <c r="C40" s="22">
        <f>B40*20</f>
        <v>0</v>
      </c>
      <c r="D40" s="21" t="s">
        <v>380</v>
      </c>
      <c r="E40" s="237" t="s">
        <v>113</v>
      </c>
    </row>
    <row r="41" spans="1:7" ht="21.75" customHeight="1" x14ac:dyDescent="0.25">
      <c r="A41" s="33" t="s">
        <v>88</v>
      </c>
      <c r="B41" s="114"/>
      <c r="C41" s="22">
        <f>B41*20</f>
        <v>0</v>
      </c>
      <c r="D41" s="21" t="s">
        <v>382</v>
      </c>
      <c r="E41" s="237"/>
    </row>
    <row r="42" spans="1:7" ht="21.75" customHeight="1" x14ac:dyDescent="0.25">
      <c r="A42" s="33" t="s">
        <v>89</v>
      </c>
      <c r="B42" s="114"/>
      <c r="C42" s="22">
        <f>B42*100</f>
        <v>0</v>
      </c>
      <c r="D42" s="21" t="s">
        <v>381</v>
      </c>
      <c r="E42" s="237"/>
    </row>
    <row r="43" spans="1:7" ht="21.75" customHeight="1" x14ac:dyDescent="0.25">
      <c r="A43" s="34" t="s">
        <v>78</v>
      </c>
      <c r="B43" s="114"/>
      <c r="C43" s="22">
        <f>B43*20</f>
        <v>0</v>
      </c>
      <c r="E43" s="237"/>
    </row>
    <row r="44" spans="1:7" ht="21.75" customHeight="1" x14ac:dyDescent="0.25">
      <c r="A44" s="235" t="s">
        <v>385</v>
      </c>
      <c r="B44" s="236"/>
      <c r="E44" s="208"/>
    </row>
    <row r="45" spans="1:7" ht="21.75" customHeight="1" x14ac:dyDescent="0.25">
      <c r="A45" s="30" t="s">
        <v>90</v>
      </c>
      <c r="B45" s="23">
        <f>SUM(B40:B44)</f>
        <v>0</v>
      </c>
      <c r="C45" s="22">
        <f>SUM(C40:C44)</f>
        <v>0</v>
      </c>
      <c r="E45" s="208"/>
    </row>
    <row r="46" spans="1:7" ht="21.75" customHeight="1" x14ac:dyDescent="0.25">
      <c r="A46" s="30" t="s">
        <v>93</v>
      </c>
      <c r="B46" s="23">
        <f>B45*423/2000</f>
        <v>0</v>
      </c>
      <c r="D46" s="206" t="s">
        <v>457</v>
      </c>
      <c r="E46" s="208"/>
    </row>
    <row r="47" spans="1:7" ht="21.75" customHeight="1" x14ac:dyDescent="0.25">
      <c r="A47" s="49" t="s">
        <v>172</v>
      </c>
      <c r="B47" s="111">
        <f>B46/B5</f>
        <v>0</v>
      </c>
      <c r="C47" s="22">
        <f>B47*10</f>
        <v>0</v>
      </c>
      <c r="D47" s="36" t="s">
        <v>109</v>
      </c>
      <c r="E47" s="38"/>
      <c r="F47" s="32">
        <f>B47/420</f>
        <v>0</v>
      </c>
    </row>
    <row r="49" spans="1:7" ht="30.75" customHeight="1" x14ac:dyDescent="0.25">
      <c r="A49" s="39" t="s">
        <v>386</v>
      </c>
      <c r="B49" s="40"/>
      <c r="C49" s="40"/>
      <c r="D49" s="40"/>
      <c r="E49" s="40"/>
      <c r="F49" s="40"/>
      <c r="G49" s="41"/>
    </row>
    <row r="50" spans="1:7" ht="21.75" customHeight="1" x14ac:dyDescent="0.25">
      <c r="A50" s="33"/>
      <c r="B50" s="47"/>
      <c r="C50" s="209" t="s">
        <v>347</v>
      </c>
      <c r="D50" s="210"/>
      <c r="E50" s="208"/>
      <c r="F50" s="25"/>
    </row>
    <row r="51" spans="1:7" ht="21.75" customHeight="1" x14ac:dyDescent="0.25">
      <c r="A51" s="33" t="s">
        <v>370</v>
      </c>
      <c r="B51" s="114"/>
      <c r="C51" s="22" t="s">
        <v>371</v>
      </c>
      <c r="D51" s="210" t="s">
        <v>383</v>
      </c>
      <c r="E51" s="208"/>
      <c r="F51" s="36"/>
      <c r="G51" s="25"/>
    </row>
    <row r="52" spans="1:7" ht="21.75" customHeight="1" x14ac:dyDescent="0.25">
      <c r="A52" s="35" t="s">
        <v>93</v>
      </c>
      <c r="B52" s="23">
        <f>B51*423/2000</f>
        <v>0</v>
      </c>
      <c r="D52" s="211" t="s">
        <v>340</v>
      </c>
      <c r="E52" s="208"/>
      <c r="F52" s="25"/>
    </row>
    <row r="53" spans="1:7" ht="21.75" customHeight="1" x14ac:dyDescent="0.25">
      <c r="A53" s="33" t="s">
        <v>348</v>
      </c>
      <c r="B53" s="114"/>
      <c r="C53" s="207">
        <f>B53*20</f>
        <v>0</v>
      </c>
      <c r="D53" s="210" t="s">
        <v>341</v>
      </c>
      <c r="E53" s="208"/>
      <c r="F53" s="25"/>
    </row>
    <row r="54" spans="1:7" ht="21.75" customHeight="1" x14ac:dyDescent="0.25">
      <c r="A54" s="30" t="s">
        <v>346</v>
      </c>
      <c r="B54" s="23">
        <f>SUM(B52:B53)</f>
        <v>0</v>
      </c>
      <c r="C54" s="23">
        <f>0.1*B8</f>
        <v>373.81500000000005</v>
      </c>
      <c r="D54" s="210" t="s">
        <v>362</v>
      </c>
      <c r="E54" s="208"/>
      <c r="F54" s="25"/>
    </row>
    <row r="55" spans="1:7" ht="21.75" customHeight="1" x14ac:dyDescent="0.25">
      <c r="A55" s="49" t="s">
        <v>172</v>
      </c>
      <c r="B55" s="111">
        <f>B54/B5</f>
        <v>0</v>
      </c>
      <c r="C55" s="22" t="s">
        <v>347</v>
      </c>
      <c r="D55" s="36"/>
      <c r="E55" s="208"/>
      <c r="F55" s="212">
        <f>B55/420</f>
        <v>0</v>
      </c>
    </row>
    <row r="57" spans="1:7" ht="30.75" customHeight="1" x14ac:dyDescent="0.25">
      <c r="A57" s="39" t="s">
        <v>349</v>
      </c>
      <c r="B57" s="40"/>
      <c r="C57" s="40"/>
      <c r="D57" s="40"/>
      <c r="E57" s="40"/>
      <c r="F57" s="40"/>
      <c r="G57" s="41"/>
    </row>
    <row r="58" spans="1:7" ht="21.75" customHeight="1" x14ac:dyDescent="0.25">
      <c r="A58" s="49" t="s">
        <v>356</v>
      </c>
      <c r="B58" s="47"/>
      <c r="C58" s="209" t="s">
        <v>347</v>
      </c>
      <c r="D58" s="210"/>
      <c r="E58" s="208"/>
      <c r="F58" s="25"/>
    </row>
    <row r="59" spans="1:7" ht="21.75" customHeight="1" x14ac:dyDescent="0.25">
      <c r="A59" s="33" t="s">
        <v>352</v>
      </c>
      <c r="B59" s="67"/>
      <c r="D59" s="210"/>
      <c r="E59" s="208"/>
      <c r="F59" s="36"/>
      <c r="G59" s="25"/>
    </row>
    <row r="60" spans="1:7" ht="21.75" customHeight="1" x14ac:dyDescent="0.25">
      <c r="A60" s="33" t="s">
        <v>350</v>
      </c>
      <c r="B60" s="67"/>
      <c r="D60" s="210"/>
      <c r="E60" s="208"/>
      <c r="F60" s="36"/>
      <c r="G60" s="25"/>
    </row>
    <row r="61" spans="1:7" ht="21.75" customHeight="1" x14ac:dyDescent="0.25">
      <c r="A61" s="33" t="s">
        <v>353</v>
      </c>
      <c r="B61" s="67"/>
      <c r="D61" s="210"/>
      <c r="E61" s="208"/>
      <c r="F61" s="36"/>
      <c r="G61" s="25"/>
    </row>
    <row r="62" spans="1:7" ht="21.75" customHeight="1" x14ac:dyDescent="0.25">
      <c r="A62" s="33" t="s">
        <v>354</v>
      </c>
      <c r="B62" s="67"/>
      <c r="D62" s="210"/>
      <c r="E62" s="208"/>
      <c r="F62" s="36"/>
      <c r="G62" s="25"/>
    </row>
    <row r="63" spans="1:7" ht="21.75" customHeight="1" x14ac:dyDescent="0.25">
      <c r="A63" s="33" t="s">
        <v>355</v>
      </c>
      <c r="B63" s="67"/>
      <c r="D63" s="210"/>
      <c r="E63" s="208"/>
      <c r="F63" s="36"/>
      <c r="G63" s="25"/>
    </row>
    <row r="64" spans="1:7" ht="21.75" customHeight="1" x14ac:dyDescent="0.25">
      <c r="A64" s="49" t="s">
        <v>351</v>
      </c>
      <c r="B64" s="67"/>
      <c r="D64" s="210"/>
      <c r="E64" s="208"/>
      <c r="F64" s="36"/>
      <c r="G64" s="25"/>
    </row>
    <row r="65" spans="1:7" ht="21.75" customHeight="1" x14ac:dyDescent="0.25">
      <c r="A65" s="49" t="s">
        <v>357</v>
      </c>
      <c r="B65" s="67"/>
      <c r="D65" s="210"/>
      <c r="E65" s="208"/>
      <c r="F65" s="36"/>
      <c r="G65" s="25"/>
    </row>
    <row r="66" spans="1:7" ht="21.75" customHeight="1" x14ac:dyDescent="0.25">
      <c r="A66" s="49" t="s">
        <v>346</v>
      </c>
      <c r="B66" s="67"/>
      <c r="D66" s="210"/>
      <c r="E66" s="208"/>
      <c r="F66" s="36"/>
      <c r="G66" s="25"/>
    </row>
    <row r="67" spans="1:7" ht="21.75" customHeight="1" x14ac:dyDescent="0.25">
      <c r="A67" s="49" t="s">
        <v>358</v>
      </c>
      <c r="B67" s="213">
        <f>SUM(B59:B66)</f>
        <v>0</v>
      </c>
      <c r="C67" s="213">
        <f>21.38*(0.1*B5)</f>
        <v>7992.1647000000012</v>
      </c>
      <c r="D67" s="210" t="s">
        <v>361</v>
      </c>
      <c r="E67" s="208"/>
      <c r="F67" s="25"/>
    </row>
    <row r="68" spans="1:7" ht="21.75" customHeight="1" x14ac:dyDescent="0.25">
      <c r="A68" s="30" t="s">
        <v>359</v>
      </c>
      <c r="B68" s="23">
        <f>B67/21.38</f>
        <v>0</v>
      </c>
      <c r="C68" s="23">
        <f>0.1*B5</f>
        <v>373.81500000000005</v>
      </c>
      <c r="D68" s="210" t="s">
        <v>360</v>
      </c>
      <c r="E68" s="208"/>
      <c r="F68" s="25"/>
    </row>
    <row r="69" spans="1:7" ht="21.75" customHeight="1" x14ac:dyDescent="0.25">
      <c r="A69" s="49" t="s">
        <v>172</v>
      </c>
      <c r="B69" s="111">
        <f>B68/B5</f>
        <v>0</v>
      </c>
      <c r="C69" s="22" t="s">
        <v>347</v>
      </c>
      <c r="D69" s="36"/>
      <c r="E69" s="208"/>
      <c r="F69" s="212">
        <f>B69/420</f>
        <v>0</v>
      </c>
      <c r="G69" s="21" t="s">
        <v>102</v>
      </c>
    </row>
    <row r="71" spans="1:7" ht="28.5" customHeight="1" x14ac:dyDescent="0.25">
      <c r="A71" s="232" t="s">
        <v>98</v>
      </c>
      <c r="B71" s="233"/>
      <c r="C71" s="233"/>
      <c r="D71" s="233"/>
      <c r="E71" s="233"/>
      <c r="F71" s="233"/>
      <c r="G71" s="234"/>
    </row>
    <row r="72" spans="1:7" ht="15" customHeight="1" x14ac:dyDescent="0.25">
      <c r="A72" s="35" t="s">
        <v>100</v>
      </c>
      <c r="B72" s="23">
        <f>VLOOKUP($B$3,'Calc Ref Sheet'!$1:$1048576,12,FALSE)</f>
        <v>0</v>
      </c>
      <c r="C72" s="22">
        <f>B72*2.5</f>
        <v>0</v>
      </c>
      <c r="D72" s="225" t="s">
        <v>120</v>
      </c>
      <c r="E72" s="225" t="s">
        <v>91</v>
      </c>
    </row>
    <row r="73" spans="1:7" ht="15" x14ac:dyDescent="0.25">
      <c r="A73" s="28" t="s">
        <v>94</v>
      </c>
      <c r="B73" s="23">
        <f>B72/21</f>
        <v>0</v>
      </c>
      <c r="D73" s="227"/>
      <c r="E73" s="226"/>
    </row>
    <row r="74" spans="1:7" ht="15" customHeight="1" x14ac:dyDescent="0.25">
      <c r="A74" s="35" t="s">
        <v>173</v>
      </c>
      <c r="B74" s="23">
        <f>VLOOKUP($B$3,'Calc Ref Sheet'!$1:$1048576,13,FALSE)</f>
        <v>0</v>
      </c>
      <c r="C74" s="22">
        <f>B74*0.05</f>
        <v>0</v>
      </c>
      <c r="D74" s="225" t="s">
        <v>365</v>
      </c>
      <c r="E74" s="226"/>
    </row>
    <row r="75" spans="1:7" ht="15" x14ac:dyDescent="0.25">
      <c r="A75" s="28" t="s">
        <v>95</v>
      </c>
      <c r="B75" s="23">
        <f>B74/242</f>
        <v>0</v>
      </c>
      <c r="D75" s="226"/>
      <c r="E75" s="226"/>
    </row>
    <row r="76" spans="1:7" ht="15" x14ac:dyDescent="0.25">
      <c r="A76" s="35" t="s">
        <v>174</v>
      </c>
      <c r="B76" s="23">
        <f>VLOOKUP($B$3,'Calc Ref Sheet'!$1:$1048576,14,FALSE)</f>
        <v>0</v>
      </c>
      <c r="C76" s="22">
        <f>B76*0.05</f>
        <v>0</v>
      </c>
      <c r="D76" s="226"/>
      <c r="E76" s="226"/>
    </row>
    <row r="77" spans="1:7" ht="15" x14ac:dyDescent="0.25">
      <c r="A77" s="28" t="s">
        <v>95</v>
      </c>
      <c r="B77" s="23">
        <f>B76/242</f>
        <v>0</v>
      </c>
      <c r="D77" s="227"/>
      <c r="E77" s="226"/>
    </row>
    <row r="78" spans="1:7" ht="15" x14ac:dyDescent="0.25">
      <c r="A78" s="35" t="s">
        <v>101</v>
      </c>
      <c r="B78" s="23">
        <f>VLOOKUP($B$3,'Calc Ref Sheet'!$1:$1048576,15,FALSE)</f>
        <v>0</v>
      </c>
      <c r="D78" s="225" t="s">
        <v>121</v>
      </c>
      <c r="E78" s="226"/>
    </row>
    <row r="79" spans="1:7" ht="21.75" customHeight="1" x14ac:dyDescent="0.25">
      <c r="A79" s="28" t="s">
        <v>96</v>
      </c>
      <c r="B79" s="23">
        <f>B78/22</f>
        <v>0</v>
      </c>
      <c r="D79" s="227"/>
      <c r="E79" s="227"/>
    </row>
    <row r="80" spans="1:7" ht="21.75" customHeight="1" x14ac:dyDescent="0.25">
      <c r="A80" s="49" t="s">
        <v>172</v>
      </c>
      <c r="B80" s="109">
        <f>(B73+B77+B79)/B5</f>
        <v>0</v>
      </c>
      <c r="D80" s="108"/>
      <c r="E80" s="46"/>
    </row>
    <row r="81" spans="1:7" ht="21.75" customHeight="1" x14ac:dyDescent="0.25">
      <c r="A81" s="28"/>
      <c r="B81" s="110"/>
    </row>
    <row r="82" spans="1:7" ht="27" customHeight="1" x14ac:dyDescent="0.25">
      <c r="A82" s="232" t="s">
        <v>140</v>
      </c>
      <c r="B82" s="233"/>
      <c r="C82" s="233"/>
      <c r="D82" s="233"/>
      <c r="E82" s="233"/>
      <c r="F82" s="233"/>
      <c r="G82" s="234"/>
    </row>
    <row r="83" spans="1:7" ht="21.75" customHeight="1" x14ac:dyDescent="0.25">
      <c r="A83" s="21" t="s">
        <v>115</v>
      </c>
      <c r="B83" s="23"/>
      <c r="C83" s="51">
        <f>B83*0.1</f>
        <v>0</v>
      </c>
      <c r="D83" s="21" t="s">
        <v>366</v>
      </c>
      <c r="E83" s="225" t="s">
        <v>144</v>
      </c>
    </row>
    <row r="84" spans="1:7" ht="21.75" customHeight="1" x14ac:dyDescent="0.25">
      <c r="A84" s="21" t="s">
        <v>116</v>
      </c>
      <c r="B84" s="23"/>
      <c r="C84" s="51">
        <f>B84*0.1</f>
        <v>0</v>
      </c>
      <c r="D84" s="21" t="s">
        <v>367</v>
      </c>
      <c r="E84" s="226"/>
    </row>
    <row r="85" spans="1:7" ht="21.75" customHeight="1" x14ac:dyDescent="0.25">
      <c r="A85" s="21" t="s">
        <v>119</v>
      </c>
      <c r="B85" s="23">
        <f>SUM(B83:B84)</f>
        <v>0</v>
      </c>
      <c r="E85" s="226"/>
    </row>
    <row r="86" spans="1:7" ht="21.75" customHeight="1" x14ac:dyDescent="0.25">
      <c r="A86" s="21" t="s">
        <v>177</v>
      </c>
      <c r="B86" s="114" t="s">
        <v>178</v>
      </c>
      <c r="E86" s="226"/>
    </row>
    <row r="87" spans="1:7" ht="21.75" customHeight="1" x14ac:dyDescent="0.25">
      <c r="A87" s="21" t="s">
        <v>118</v>
      </c>
      <c r="B87" s="113">
        <f>IF(B86="Bright Choice",0.03,0)</f>
        <v>0.03</v>
      </c>
      <c r="D87" s="21" t="s">
        <v>368</v>
      </c>
      <c r="E87" s="226"/>
    </row>
    <row r="88" spans="1:7" ht="21.75" customHeight="1" x14ac:dyDescent="0.25">
      <c r="A88" s="21" t="s">
        <v>138</v>
      </c>
      <c r="B88" s="23">
        <f>B83*B87</f>
        <v>0</v>
      </c>
      <c r="C88" s="22">
        <f>B88*0.1</f>
        <v>0</v>
      </c>
      <c r="D88" s="21" t="s">
        <v>111</v>
      </c>
      <c r="E88" s="226"/>
    </row>
    <row r="89" spans="1:7" ht="21.75" customHeight="1" x14ac:dyDescent="0.25">
      <c r="A89" s="21" t="s">
        <v>139</v>
      </c>
      <c r="B89" s="23">
        <f>B85*B87</f>
        <v>0</v>
      </c>
      <c r="E89" s="226"/>
    </row>
    <row r="90" spans="1:7" ht="21.75" customHeight="1" x14ac:dyDescent="0.25">
      <c r="A90" s="30" t="s">
        <v>141</v>
      </c>
      <c r="B90" s="23">
        <f>B88/650</f>
        <v>0</v>
      </c>
      <c r="D90" s="21" t="s">
        <v>143</v>
      </c>
      <c r="E90" s="227"/>
    </row>
    <row r="91" spans="1:7" ht="21.75" customHeight="1" x14ac:dyDescent="0.25">
      <c r="A91" s="21" t="s">
        <v>142</v>
      </c>
      <c r="B91" s="23">
        <f>B89/650</f>
        <v>0</v>
      </c>
      <c r="C91" s="21"/>
      <c r="D91" s="21" t="s">
        <v>151</v>
      </c>
    </row>
    <row r="92" spans="1:7" ht="21.75" customHeight="1" x14ac:dyDescent="0.25">
      <c r="A92" s="30" t="s">
        <v>171</v>
      </c>
      <c r="B92" s="218">
        <f>B90/B5</f>
        <v>0</v>
      </c>
      <c r="C92" s="21"/>
    </row>
  </sheetData>
  <mergeCells count="11">
    <mergeCell ref="E83:E90"/>
    <mergeCell ref="D74:D77"/>
    <mergeCell ref="A1:G1"/>
    <mergeCell ref="A39:G39"/>
    <mergeCell ref="A71:G71"/>
    <mergeCell ref="A82:G82"/>
    <mergeCell ref="D78:D79"/>
    <mergeCell ref="D72:D73"/>
    <mergeCell ref="E72:E79"/>
    <mergeCell ref="A44:B44"/>
    <mergeCell ref="E40:E43"/>
  </mergeCells>
  <conditionalFormatting sqref="B3">
    <cfRule type="containsBlanks" dxfId="6" priority="13">
      <formula>LEN(TRIM(B3))=0</formula>
    </cfRule>
  </conditionalFormatting>
  <conditionalFormatting sqref="B8">
    <cfRule type="cellIs" dxfId="5" priority="7" operator="greaterThan">
      <formula>0</formula>
    </cfRule>
    <cfRule type="cellIs" dxfId="4" priority="14" operator="lessThan">
      <formula>34200</formula>
    </cfRule>
  </conditionalFormatting>
  <conditionalFormatting sqref="B55">
    <cfRule type="cellIs" dxfId="3" priority="4" operator="greaterThan">
      <formula>0.1</formula>
    </cfRule>
  </conditionalFormatting>
  <conditionalFormatting sqref="B69">
    <cfRule type="cellIs" dxfId="2" priority="1" operator="greaterThan">
      <formula>0.1</formula>
    </cfRule>
  </conditionalFormatting>
  <conditionalFormatting sqref="B87">
    <cfRule type="containsBlanks" dxfId="1" priority="6">
      <formula>LEN(TRIM(B87))=0</formula>
    </cfRule>
  </conditionalFormatting>
  <hyperlinks>
    <hyperlink ref="D46" r:id="rId1" display="1 ton mulch/1 ton organics; 421 lb mulch/CY (EPA)" xr:uid="{6B60F0AE-D06D-49AA-80D9-FD8652350A6A}"/>
    <hyperlink ref="D52" r:id="rId2" xr:uid="{FB8E4381-BA10-4BA8-B4BB-CEC46CF8E00F}"/>
    <hyperlink ref="D17" r:id="rId3" display="Assumes average bulk density of 473 lb/CY per EPA" xr:uid="{2A876A5A-15FF-4D09-8978-4142BA10A984}"/>
  </hyperlinks>
  <pageMargins left="0.7" right="0.7" top="0.75" bottom="0.75" header="0.3" footer="0.3"/>
  <pageSetup orientation="portrait" r:id="rId4"/>
  <extLst>
    <ext xmlns:x14="http://schemas.microsoft.com/office/spreadsheetml/2009/9/main" uri="{78C0D931-6437-407d-A8EE-F0AAD7539E65}">
      <x14:conditionalFormattings>
        <x14:conditionalFormatting xmlns:xm="http://schemas.microsoft.com/office/excel/2006/main">
          <x14:cfRule type="cellIs" priority="5" operator="equal" id="{7AAB3E99-3ABE-4AC8-A0CF-E61C9ED1FD19}">
            <xm:f>'Calc Ref Sheet'!$A$2</xm:f>
            <x14:dxf>
              <fill>
                <patternFill>
                  <bgColor rgb="FFFFFFCC"/>
                </patternFill>
              </fill>
            </x14:dxf>
          </x14:cfRule>
          <xm:sqref>B3</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r:uid="{00000000-0002-0000-0400-000000000000}">
          <x14:formula1>
            <xm:f>'Calc Ref Sheet'!$A$2:$A$20</xm:f>
          </x14:formula1>
          <xm:sqref>B3</xm:sqref>
        </x14:dataValidation>
        <x14:dataValidation type="list" allowBlank="1" showInputMessage="1" showErrorMessage="1" xr:uid="{00000000-0002-0000-0400-000001000000}">
          <x14:formula1>
            <xm:f>'Calc Ref Sheet'!$A$30:$A$33</xm:f>
          </x14:formula1>
          <xm:sqref>B86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C18EA-502D-4DE0-95B3-FE9DCD29ACA6}">
  <dimension ref="A1:M13"/>
  <sheetViews>
    <sheetView topLeftCell="A4" workbookViewId="0">
      <selection activeCell="K1" sqref="K1:M13"/>
    </sheetView>
  </sheetViews>
  <sheetFormatPr defaultRowHeight="15" x14ac:dyDescent="0.25"/>
  <cols>
    <col min="1" max="1" width="15.7109375" bestFit="1" customWidth="1"/>
    <col min="2" max="2" width="17.85546875" hidden="1" customWidth="1"/>
    <col min="3" max="3" width="0" hidden="1" customWidth="1"/>
    <col min="4" max="4" width="25" hidden="1" customWidth="1"/>
    <col min="5" max="5" width="60" style="221" hidden="1" customWidth="1"/>
    <col min="6" max="6" width="20.7109375" hidden="1" customWidth="1"/>
    <col min="7" max="7" width="19.7109375" style="221" hidden="1" customWidth="1"/>
    <col min="8" max="8" width="34.5703125" style="221" hidden="1" customWidth="1"/>
    <col min="9" max="9" width="39.5703125" style="221" hidden="1" customWidth="1"/>
    <col min="10" max="10" width="25.5703125" hidden="1" customWidth="1"/>
    <col min="11" max="11" width="23.140625" bestFit="1" customWidth="1"/>
  </cols>
  <sheetData>
    <row r="1" spans="1:13" ht="75" x14ac:dyDescent="0.25">
      <c r="A1" s="221" t="s">
        <v>387</v>
      </c>
      <c r="B1" s="221" t="s">
        <v>388</v>
      </c>
      <c r="C1" s="221" t="s">
        <v>389</v>
      </c>
      <c r="D1" s="221" t="s">
        <v>390</v>
      </c>
      <c r="E1" s="221" t="s">
        <v>391</v>
      </c>
      <c r="F1" s="221" t="s">
        <v>392</v>
      </c>
      <c r="G1" s="221" t="s">
        <v>393</v>
      </c>
      <c r="H1" s="221" t="s">
        <v>394</v>
      </c>
      <c r="I1" s="221" t="s">
        <v>395</v>
      </c>
      <c r="J1" s="221" t="s">
        <v>396</v>
      </c>
      <c r="K1" s="222" t="s">
        <v>397</v>
      </c>
      <c r="L1" s="222" t="s">
        <v>398</v>
      </c>
      <c r="M1" s="221" t="s">
        <v>444</v>
      </c>
    </row>
    <row r="2" spans="1:13" ht="45" x14ac:dyDescent="0.25">
      <c r="A2" t="s">
        <v>2</v>
      </c>
      <c r="B2" t="s">
        <v>399</v>
      </c>
      <c r="C2" t="s">
        <v>400</v>
      </c>
      <c r="D2" t="s">
        <v>401</v>
      </c>
      <c r="E2" s="221" t="s">
        <v>402</v>
      </c>
      <c r="F2" t="s">
        <v>403</v>
      </c>
      <c r="G2" s="221" t="s">
        <v>404</v>
      </c>
      <c r="H2" s="221" t="s">
        <v>405</v>
      </c>
      <c r="I2" s="221" t="s">
        <v>406</v>
      </c>
      <c r="J2">
        <v>27</v>
      </c>
      <c r="K2" s="223">
        <v>32215</v>
      </c>
      <c r="L2" t="s">
        <v>407</v>
      </c>
      <c r="M2" s="2">
        <f>(K2/1000)*4</f>
        <v>128.86000000000001</v>
      </c>
    </row>
    <row r="3" spans="1:13" ht="195" x14ac:dyDescent="0.25">
      <c r="A3" t="s">
        <v>4</v>
      </c>
      <c r="B3" t="s">
        <v>399</v>
      </c>
      <c r="C3" t="s">
        <v>400</v>
      </c>
      <c r="D3" t="s">
        <v>408</v>
      </c>
      <c r="E3" s="221" t="s">
        <v>409</v>
      </c>
      <c r="F3" t="s">
        <v>403</v>
      </c>
      <c r="G3" s="221" t="s">
        <v>409</v>
      </c>
      <c r="H3" s="221" t="s">
        <v>410</v>
      </c>
      <c r="I3" s="221" t="s">
        <v>411</v>
      </c>
      <c r="J3" t="s">
        <v>412</v>
      </c>
      <c r="K3" s="223">
        <v>13114</v>
      </c>
      <c r="L3" t="s">
        <v>407</v>
      </c>
      <c r="M3" s="2">
        <f t="shared" ref="M3:M13" si="0">(K3/1000)*4</f>
        <v>52.456000000000003</v>
      </c>
    </row>
    <row r="4" spans="1:13" ht="135" x14ac:dyDescent="0.25">
      <c r="A4" t="s">
        <v>7</v>
      </c>
      <c r="B4" t="s">
        <v>399</v>
      </c>
      <c r="C4" t="s">
        <v>400</v>
      </c>
      <c r="D4" t="s">
        <v>401</v>
      </c>
      <c r="E4" s="221" t="s">
        <v>413</v>
      </c>
      <c r="F4" t="s">
        <v>403</v>
      </c>
      <c r="G4" s="221" t="s">
        <v>414</v>
      </c>
      <c r="H4" s="221" t="s">
        <v>415</v>
      </c>
      <c r="I4" s="221" t="s">
        <v>416</v>
      </c>
      <c r="J4">
        <v>96</v>
      </c>
      <c r="K4" s="223">
        <v>83457</v>
      </c>
      <c r="L4" t="s">
        <v>407</v>
      </c>
      <c r="M4" s="2">
        <f t="shared" si="0"/>
        <v>333.82799999999997</v>
      </c>
    </row>
    <row r="5" spans="1:13" ht="45" x14ac:dyDescent="0.25">
      <c r="A5" t="s">
        <v>6</v>
      </c>
      <c r="B5" t="s">
        <v>399</v>
      </c>
      <c r="C5" t="s">
        <v>400</v>
      </c>
      <c r="D5" t="s">
        <v>401</v>
      </c>
      <c r="E5" s="221" t="s">
        <v>417</v>
      </c>
      <c r="F5" t="s">
        <v>403</v>
      </c>
      <c r="G5" s="221" t="s">
        <v>418</v>
      </c>
      <c r="H5" s="221" t="s">
        <v>419</v>
      </c>
      <c r="I5" s="221" t="s">
        <v>409</v>
      </c>
      <c r="J5">
        <v>2</v>
      </c>
      <c r="K5" s="223">
        <v>9569</v>
      </c>
      <c r="L5" t="s">
        <v>407</v>
      </c>
      <c r="M5" s="2">
        <f t="shared" si="0"/>
        <v>38.276000000000003</v>
      </c>
    </row>
    <row r="6" spans="1:13" x14ac:dyDescent="0.25">
      <c r="A6" t="s">
        <v>13</v>
      </c>
      <c r="B6" t="s">
        <v>399</v>
      </c>
      <c r="C6" t="s">
        <v>400</v>
      </c>
      <c r="D6" t="s">
        <v>408</v>
      </c>
      <c r="E6" s="221" t="s">
        <v>420</v>
      </c>
      <c r="F6" t="s">
        <v>403</v>
      </c>
      <c r="G6" s="221" t="s">
        <v>404</v>
      </c>
      <c r="H6" s="221" t="s">
        <v>415</v>
      </c>
      <c r="I6" s="221" t="s">
        <v>421</v>
      </c>
      <c r="J6" t="s">
        <v>422</v>
      </c>
      <c r="K6" s="223">
        <v>310230</v>
      </c>
      <c r="L6" t="s">
        <v>407</v>
      </c>
      <c r="M6" s="2">
        <f t="shared" si="0"/>
        <v>1240.92</v>
      </c>
    </row>
    <row r="7" spans="1:13" ht="45" x14ac:dyDescent="0.25">
      <c r="A7" t="s">
        <v>10</v>
      </c>
      <c r="B7" t="s">
        <v>399</v>
      </c>
      <c r="C7" t="s">
        <v>400</v>
      </c>
      <c r="D7" t="s">
        <v>401</v>
      </c>
      <c r="E7" s="221" t="s">
        <v>423</v>
      </c>
      <c r="F7" t="s">
        <v>403</v>
      </c>
      <c r="G7" s="221" t="s">
        <v>424</v>
      </c>
      <c r="H7" s="221" t="s">
        <v>425</v>
      </c>
      <c r="I7" s="221" t="s">
        <v>409</v>
      </c>
      <c r="J7" t="s">
        <v>426</v>
      </c>
      <c r="K7" s="223">
        <v>589861</v>
      </c>
      <c r="L7" t="s">
        <v>407</v>
      </c>
      <c r="M7" s="2">
        <f t="shared" si="0"/>
        <v>2359.444</v>
      </c>
    </row>
    <row r="8" spans="1:13" ht="45" x14ac:dyDescent="0.25">
      <c r="A8" t="s">
        <v>9</v>
      </c>
      <c r="B8" t="s">
        <v>399</v>
      </c>
      <c r="C8" t="s">
        <v>400</v>
      </c>
      <c r="D8" t="s">
        <v>401</v>
      </c>
      <c r="E8" s="221" t="s">
        <v>427</v>
      </c>
      <c r="F8" t="s">
        <v>403</v>
      </c>
      <c r="G8" s="221" t="s">
        <v>428</v>
      </c>
      <c r="H8" s="221" t="s">
        <v>429</v>
      </c>
      <c r="I8" s="221" t="s">
        <v>430</v>
      </c>
      <c r="J8" t="s">
        <v>431</v>
      </c>
      <c r="K8">
        <v>30995</v>
      </c>
      <c r="L8" t="s">
        <v>407</v>
      </c>
      <c r="M8" s="2">
        <f t="shared" si="0"/>
        <v>123.98</v>
      </c>
    </row>
    <row r="9" spans="1:13" x14ac:dyDescent="0.25">
      <c r="A9" t="s">
        <v>12</v>
      </c>
      <c r="B9" t="s">
        <v>399</v>
      </c>
      <c r="C9" t="s">
        <v>400</v>
      </c>
      <c r="D9" t="s">
        <v>408</v>
      </c>
      <c r="E9" s="221" t="s">
        <v>409</v>
      </c>
      <c r="F9" t="s">
        <v>409</v>
      </c>
      <c r="G9" s="221" t="s">
        <v>409</v>
      </c>
      <c r="H9" s="221" t="s">
        <v>432</v>
      </c>
      <c r="I9" s="221" t="s">
        <v>409</v>
      </c>
      <c r="J9" t="s">
        <v>433</v>
      </c>
      <c r="K9">
        <v>6.58</v>
      </c>
      <c r="L9" t="s">
        <v>202</v>
      </c>
      <c r="M9" s="2">
        <f>(K9)*175</f>
        <v>1151.5</v>
      </c>
    </row>
    <row r="10" spans="1:13" ht="45" x14ac:dyDescent="0.25">
      <c r="A10" t="s">
        <v>14</v>
      </c>
      <c r="B10" t="s">
        <v>399</v>
      </c>
      <c r="C10" t="s">
        <v>400</v>
      </c>
      <c r="D10" t="s">
        <v>408</v>
      </c>
      <c r="E10" s="221" t="s">
        <v>409</v>
      </c>
      <c r="F10" t="s">
        <v>409</v>
      </c>
      <c r="G10" s="221" t="s">
        <v>409</v>
      </c>
      <c r="H10" s="221" t="s">
        <v>434</v>
      </c>
      <c r="I10" s="221" t="s">
        <v>409</v>
      </c>
      <c r="J10" t="s">
        <v>435</v>
      </c>
      <c r="K10" s="223">
        <v>230192</v>
      </c>
      <c r="L10" t="s">
        <v>407</v>
      </c>
      <c r="M10" s="2">
        <f t="shared" si="0"/>
        <v>920.76800000000003</v>
      </c>
    </row>
    <row r="11" spans="1:13" ht="30" x14ac:dyDescent="0.25">
      <c r="A11" t="s">
        <v>17</v>
      </c>
      <c r="B11" t="s">
        <v>399</v>
      </c>
      <c r="C11" t="s">
        <v>400</v>
      </c>
      <c r="D11" t="s">
        <v>408</v>
      </c>
      <c r="E11" s="221" t="s">
        <v>409</v>
      </c>
      <c r="F11" t="s">
        <v>409</v>
      </c>
      <c r="G11" s="221" t="s">
        <v>409</v>
      </c>
      <c r="H11" s="221" t="s">
        <v>436</v>
      </c>
      <c r="I11" s="221" t="s">
        <v>409</v>
      </c>
      <c r="J11" t="s">
        <v>437</v>
      </c>
      <c r="K11">
        <v>59330</v>
      </c>
      <c r="L11" t="s">
        <v>407</v>
      </c>
      <c r="M11" s="2">
        <f t="shared" si="0"/>
        <v>237.32</v>
      </c>
    </row>
    <row r="12" spans="1:13" ht="30" x14ac:dyDescent="0.25">
      <c r="A12" t="s">
        <v>8</v>
      </c>
      <c r="B12" t="s">
        <v>399</v>
      </c>
      <c r="C12" t="s">
        <v>400</v>
      </c>
      <c r="D12" t="s">
        <v>401</v>
      </c>
      <c r="E12" s="221" t="s">
        <v>438</v>
      </c>
      <c r="F12" t="s">
        <v>403</v>
      </c>
      <c r="G12" s="221" t="s">
        <v>414</v>
      </c>
      <c r="H12" s="221" t="s">
        <v>439</v>
      </c>
      <c r="I12" s="221" t="s">
        <v>409</v>
      </c>
      <c r="J12">
        <v>9</v>
      </c>
      <c r="K12">
        <v>22.7</v>
      </c>
      <c r="L12" t="s">
        <v>202</v>
      </c>
      <c r="M12" s="2">
        <f>(K12)*175</f>
        <v>3972.5</v>
      </c>
    </row>
    <row r="13" spans="1:13" ht="30" x14ac:dyDescent="0.25">
      <c r="A13" t="s">
        <v>15</v>
      </c>
      <c r="B13" t="s">
        <v>399</v>
      </c>
      <c r="C13" t="s">
        <v>400</v>
      </c>
      <c r="D13" t="s">
        <v>401</v>
      </c>
      <c r="E13" s="221" t="s">
        <v>440</v>
      </c>
      <c r="F13" t="s">
        <v>409</v>
      </c>
      <c r="G13" s="221" t="s">
        <v>404</v>
      </c>
      <c r="H13" s="221" t="s">
        <v>441</v>
      </c>
      <c r="I13" s="221" t="s">
        <v>442</v>
      </c>
      <c r="J13" t="s">
        <v>443</v>
      </c>
      <c r="K13" s="223">
        <v>129902</v>
      </c>
      <c r="L13" t="s">
        <v>407</v>
      </c>
      <c r="M13" s="2">
        <f t="shared" si="0"/>
        <v>519.60799999999995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R31"/>
  <sheetViews>
    <sheetView workbookViewId="0">
      <pane xSplit="1" ySplit="1" topLeftCell="B2" activePane="bottomRight" state="frozen"/>
      <selection pane="topRight" activeCell="B1" sqref="B1"/>
      <selection pane="bottomLeft" activeCell="A2" sqref="A2"/>
      <selection pane="bottomRight" activeCell="S23" sqref="S23"/>
    </sheetView>
  </sheetViews>
  <sheetFormatPr defaultRowHeight="15" x14ac:dyDescent="0.25"/>
  <cols>
    <col min="1" max="1" width="47.5703125" customWidth="1"/>
    <col min="2" max="2" width="13.28515625" bestFit="1" customWidth="1"/>
    <col min="3" max="4" width="13" style="71" hidden="1" customWidth="1"/>
    <col min="5" max="7" width="13" style="72" hidden="1" customWidth="1"/>
    <col min="8" max="11" width="15.28515625" style="72" hidden="1" customWidth="1"/>
    <col min="12" max="16" width="15.28515625" hidden="1" customWidth="1"/>
    <col min="17" max="17" width="16.28515625" hidden="1" customWidth="1"/>
    <col min="18" max="19" width="16.28515625" customWidth="1"/>
    <col min="20" max="23" width="13" customWidth="1"/>
    <col min="24" max="26" width="15.28515625" customWidth="1"/>
    <col min="27" max="27" width="16.28515625" customWidth="1"/>
    <col min="28" max="30" width="15.28515625" customWidth="1"/>
    <col min="31" max="31" width="16.28515625" customWidth="1"/>
    <col min="32" max="32" width="17" customWidth="1"/>
    <col min="33" max="33" width="16" bestFit="1" customWidth="1"/>
    <col min="34" max="34" width="17" bestFit="1" customWidth="1"/>
    <col min="35" max="35" width="19.7109375" bestFit="1" customWidth="1"/>
    <col min="36" max="36" width="18.7109375" bestFit="1" customWidth="1"/>
    <col min="37" max="37" width="19.7109375" bestFit="1" customWidth="1"/>
    <col min="38" max="38" width="18.7109375" bestFit="1" customWidth="1"/>
    <col min="40" max="40" width="15.7109375" hidden="1" customWidth="1"/>
    <col min="44" max="44" width="32.85546875" customWidth="1"/>
  </cols>
  <sheetData>
    <row r="1" spans="1:44" ht="75" x14ac:dyDescent="0.25">
      <c r="A1" s="6" t="s">
        <v>0</v>
      </c>
      <c r="B1" s="7" t="s">
        <v>51</v>
      </c>
      <c r="C1" s="73" t="s">
        <v>126</v>
      </c>
      <c r="D1" s="73" t="s">
        <v>73</v>
      </c>
      <c r="E1" s="74" t="s">
        <v>74</v>
      </c>
      <c r="F1" s="74" t="s">
        <v>153</v>
      </c>
      <c r="G1" s="74" t="s">
        <v>107</v>
      </c>
      <c r="H1" s="74" t="s">
        <v>125</v>
      </c>
      <c r="I1" s="74" t="s">
        <v>104</v>
      </c>
      <c r="J1" s="74" t="s">
        <v>105</v>
      </c>
      <c r="K1" s="74" t="s">
        <v>106</v>
      </c>
      <c r="L1" s="7" t="s">
        <v>123</v>
      </c>
      <c r="M1" s="7" t="s">
        <v>122</v>
      </c>
      <c r="N1" s="7" t="s">
        <v>127</v>
      </c>
      <c r="O1" s="7" t="s">
        <v>124</v>
      </c>
      <c r="P1" s="7" t="s">
        <v>117</v>
      </c>
      <c r="Q1" s="7" t="s">
        <v>114</v>
      </c>
      <c r="R1" s="7" t="s">
        <v>339</v>
      </c>
      <c r="S1" s="7" t="s">
        <v>455</v>
      </c>
      <c r="T1" s="7" t="s">
        <v>338</v>
      </c>
      <c r="U1" s="7" t="s">
        <v>456</v>
      </c>
      <c r="V1" s="7" t="s">
        <v>72</v>
      </c>
      <c r="W1" s="7" t="s">
        <v>71</v>
      </c>
      <c r="X1" s="7" t="s">
        <v>62</v>
      </c>
      <c r="Y1" s="7" t="s">
        <v>61</v>
      </c>
      <c r="Z1" s="7" t="s">
        <v>75</v>
      </c>
      <c r="AA1" s="7" t="s">
        <v>67</v>
      </c>
      <c r="AB1" s="7" t="s">
        <v>64</v>
      </c>
      <c r="AC1" s="7" t="s">
        <v>65</v>
      </c>
      <c r="AD1" s="7" t="s">
        <v>66</v>
      </c>
      <c r="AE1" s="7" t="s">
        <v>68</v>
      </c>
      <c r="AF1" s="7" t="s">
        <v>63</v>
      </c>
      <c r="AG1" s="7" t="s">
        <v>69</v>
      </c>
      <c r="AH1" s="7" t="s">
        <v>70</v>
      </c>
      <c r="AI1" s="7" t="s">
        <v>67</v>
      </c>
      <c r="AJ1" s="7" t="s">
        <v>64</v>
      </c>
      <c r="AK1" s="7" t="s">
        <v>65</v>
      </c>
      <c r="AL1" s="7" t="s">
        <v>66</v>
      </c>
      <c r="AN1" s="221" t="s">
        <v>387</v>
      </c>
      <c r="AO1" s="222" t="s">
        <v>397</v>
      </c>
      <c r="AP1" s="222" t="s">
        <v>398</v>
      </c>
      <c r="AQ1" s="221" t="s">
        <v>444</v>
      </c>
      <c r="AR1" s="7" t="s">
        <v>80</v>
      </c>
    </row>
    <row r="2" spans="1:44" x14ac:dyDescent="0.25">
      <c r="A2" s="6" t="s">
        <v>112</v>
      </c>
      <c r="B2" s="7"/>
      <c r="C2" s="73"/>
      <c r="D2" s="73"/>
      <c r="E2" s="74"/>
      <c r="F2" s="74"/>
      <c r="G2" s="74"/>
      <c r="H2" s="74"/>
      <c r="I2" s="74"/>
      <c r="J2" s="74"/>
      <c r="K2" s="74"/>
      <c r="L2" s="7"/>
      <c r="M2" s="7"/>
      <c r="N2" s="7"/>
      <c r="O2" s="7"/>
      <c r="P2" s="50"/>
      <c r="Q2" s="7"/>
      <c r="R2" s="7"/>
      <c r="S2" s="7"/>
      <c r="T2" s="7"/>
      <c r="U2" s="7"/>
      <c r="V2" s="7"/>
      <c r="W2" s="7"/>
      <c r="X2" s="7"/>
      <c r="Y2" s="7"/>
      <c r="Z2" s="7"/>
      <c r="AA2" s="7"/>
      <c r="AB2" s="7"/>
      <c r="AC2" s="7"/>
      <c r="AD2" s="7"/>
      <c r="AE2" s="7"/>
      <c r="AF2" s="7"/>
      <c r="AG2" s="7"/>
      <c r="AH2" s="7"/>
      <c r="AI2" s="7"/>
      <c r="AJ2" s="7"/>
      <c r="AK2" s="7"/>
      <c r="AL2" s="7"/>
    </row>
    <row r="3" spans="1:44" x14ac:dyDescent="0.25">
      <c r="A3" t="s">
        <v>1</v>
      </c>
      <c r="B3" s="4">
        <v>80884</v>
      </c>
      <c r="C3" s="75"/>
      <c r="D3" s="75"/>
      <c r="E3" s="76"/>
      <c r="F3" s="76"/>
      <c r="G3" s="76"/>
      <c r="H3" s="77"/>
      <c r="I3" s="77"/>
      <c r="J3" s="77"/>
      <c r="K3" s="77"/>
      <c r="L3" s="13"/>
      <c r="M3" s="13"/>
      <c r="N3" s="13"/>
      <c r="O3" s="13"/>
      <c r="P3" s="13"/>
      <c r="Q3" s="13"/>
      <c r="R3" s="5">
        <v>0.08</v>
      </c>
      <c r="S3" s="13">
        <f>B3*R3</f>
        <v>6470.72</v>
      </c>
      <c r="T3" s="224">
        <v>2.7E-2</v>
      </c>
      <c r="U3" s="4">
        <f t="shared" ref="U3:U19" si="0">B3*T3</f>
        <v>2183.8679999999999</v>
      </c>
      <c r="V3" s="3">
        <v>0.57999999999999996</v>
      </c>
      <c r="W3" s="3">
        <v>1</v>
      </c>
      <c r="Y3" s="13">
        <f>X3*0.4</f>
        <v>0</v>
      </c>
      <c r="Z3" s="13"/>
      <c r="AA3" s="13"/>
      <c r="AB3" s="13"/>
      <c r="AC3" s="13"/>
      <c r="AD3" s="13"/>
      <c r="AE3" s="13">
        <f t="shared" ref="AE3:AE20" si="1">SUM(Y3:AD3)</f>
        <v>0</v>
      </c>
      <c r="AF3" s="13">
        <f t="shared" ref="AF3:AF20" si="2">U3-AE3</f>
        <v>2183.8679999999999</v>
      </c>
      <c r="AG3" s="13">
        <f>AF3*0.58</f>
        <v>1266.6434399999998</v>
      </c>
      <c r="AR3" t="s">
        <v>454</v>
      </c>
    </row>
    <row r="4" spans="1:44" x14ac:dyDescent="0.25">
      <c r="A4" t="s">
        <v>2</v>
      </c>
      <c r="B4" s="4">
        <v>138450</v>
      </c>
      <c r="C4" s="75"/>
      <c r="D4" s="75"/>
      <c r="E4" s="76"/>
      <c r="F4" s="76"/>
      <c r="G4" s="76"/>
      <c r="H4" s="77"/>
      <c r="I4" s="77"/>
      <c r="J4" s="77"/>
      <c r="K4" s="77"/>
      <c r="L4" s="13"/>
      <c r="M4" s="13"/>
      <c r="N4" s="13"/>
      <c r="O4" s="13"/>
      <c r="P4" s="4"/>
      <c r="Q4" s="4"/>
      <c r="R4" s="5">
        <v>0.08</v>
      </c>
      <c r="S4" s="13">
        <f t="shared" ref="S4:S19" si="3">B4*R4</f>
        <v>11076</v>
      </c>
      <c r="T4" s="224">
        <v>2.7E-2</v>
      </c>
      <c r="U4" s="4">
        <f t="shared" si="0"/>
        <v>3738.15</v>
      </c>
      <c r="V4" s="3">
        <v>0.57999999999999996</v>
      </c>
      <c r="W4" s="3">
        <v>1</v>
      </c>
      <c r="X4" s="4"/>
      <c r="Y4" s="13"/>
      <c r="Z4" s="13"/>
      <c r="AA4" s="13"/>
      <c r="AB4" s="13"/>
      <c r="AC4" s="13"/>
      <c r="AD4" s="13"/>
      <c r="AE4" s="13">
        <f t="shared" si="1"/>
        <v>0</v>
      </c>
      <c r="AF4" s="13">
        <f t="shared" si="2"/>
        <v>3738.15</v>
      </c>
      <c r="AG4" s="13">
        <f>AF4*0.58</f>
        <v>2168.127</v>
      </c>
      <c r="AH4" s="13">
        <f>AF4</f>
        <v>3738.15</v>
      </c>
      <c r="AI4" s="4">
        <f>AF4*650</f>
        <v>2429797.5</v>
      </c>
      <c r="AJ4" s="13">
        <f>AF4*21</f>
        <v>78501.150000000009</v>
      </c>
      <c r="AK4" s="13">
        <f>AF4*242</f>
        <v>904632.3</v>
      </c>
      <c r="AL4" s="13">
        <f>AF4*22</f>
        <v>82239.3</v>
      </c>
      <c r="AN4" t="s">
        <v>2</v>
      </c>
      <c r="AO4" s="223">
        <v>32215</v>
      </c>
      <c r="AP4" t="s">
        <v>407</v>
      </c>
      <c r="AQ4" s="2">
        <f>(AO4/1000)*4</f>
        <v>128.86000000000001</v>
      </c>
    </row>
    <row r="5" spans="1:44" x14ac:dyDescent="0.25">
      <c r="A5" t="s">
        <v>3</v>
      </c>
      <c r="B5" s="4">
        <v>17055</v>
      </c>
      <c r="C5" s="75"/>
      <c r="D5" s="75"/>
      <c r="E5" s="76"/>
      <c r="F5" s="76"/>
      <c r="G5" s="76"/>
      <c r="H5" s="77"/>
      <c r="I5" s="77"/>
      <c r="J5" s="77"/>
      <c r="K5" s="77"/>
      <c r="L5" s="13"/>
      <c r="M5" s="13"/>
      <c r="N5" s="13"/>
      <c r="O5" s="13"/>
      <c r="P5" s="4"/>
      <c r="Q5" s="4"/>
      <c r="R5" s="5">
        <v>0.08</v>
      </c>
      <c r="S5" s="13">
        <f t="shared" si="3"/>
        <v>1364.4</v>
      </c>
      <c r="T5" s="224">
        <v>2.7E-2</v>
      </c>
      <c r="U5" s="4">
        <f t="shared" si="0"/>
        <v>460.48500000000001</v>
      </c>
      <c r="V5" s="3">
        <v>0.57999999999999996</v>
      </c>
      <c r="W5" s="3">
        <v>1</v>
      </c>
      <c r="Y5" s="13"/>
      <c r="Z5" s="13"/>
      <c r="AA5" s="13"/>
      <c r="AB5" s="13"/>
      <c r="AC5" s="13"/>
      <c r="AD5" s="13"/>
      <c r="AE5" s="13">
        <f t="shared" si="1"/>
        <v>0</v>
      </c>
      <c r="AF5" s="13">
        <f t="shared" si="2"/>
        <v>460.48500000000001</v>
      </c>
      <c r="AG5" s="13">
        <f t="shared" ref="AG5:AG20" si="4">AF5*0.58</f>
        <v>267.0813</v>
      </c>
      <c r="AH5" s="13">
        <f t="shared" ref="AH5:AH20" si="5">AF5</f>
        <v>460.48500000000001</v>
      </c>
      <c r="AI5" s="4">
        <f t="shared" ref="AI5:AI20" si="6">AF5*650</f>
        <v>299315.25</v>
      </c>
      <c r="AJ5" s="13">
        <f t="shared" ref="AJ5:AJ20" si="7">AF5*21</f>
        <v>9670.1849999999995</v>
      </c>
      <c r="AK5" s="13">
        <f t="shared" ref="AK5:AK20" si="8">AF5*242</f>
        <v>111437.37000000001</v>
      </c>
      <c r="AL5" s="13">
        <f t="shared" ref="AL5:AL20" si="9">AF5*22</f>
        <v>10130.67</v>
      </c>
      <c r="AR5" t="s">
        <v>454</v>
      </c>
    </row>
    <row r="6" spans="1:44" x14ac:dyDescent="0.25">
      <c r="A6" t="s">
        <v>4</v>
      </c>
      <c r="B6" s="4">
        <v>116761</v>
      </c>
      <c r="C6" s="75"/>
      <c r="D6" s="75"/>
      <c r="E6" s="76"/>
      <c r="F6" s="76"/>
      <c r="G6" s="76"/>
      <c r="H6" s="77"/>
      <c r="I6" s="77"/>
      <c r="J6" s="77"/>
      <c r="K6" s="77"/>
      <c r="L6" s="13"/>
      <c r="M6" s="13"/>
      <c r="N6" s="13"/>
      <c r="O6" s="13"/>
      <c r="P6" s="4"/>
      <c r="Q6" s="4"/>
      <c r="R6" s="5">
        <v>0.08</v>
      </c>
      <c r="S6" s="13">
        <f t="shared" si="3"/>
        <v>9340.880000000001</v>
      </c>
      <c r="T6" s="224">
        <v>2.7E-2</v>
      </c>
      <c r="U6" s="4">
        <f t="shared" si="0"/>
        <v>3152.547</v>
      </c>
      <c r="V6" s="3">
        <v>0.57999999999999996</v>
      </c>
      <c r="W6" s="3">
        <v>1</v>
      </c>
      <c r="Y6" s="13"/>
      <c r="Z6" s="13"/>
      <c r="AA6" s="13"/>
      <c r="AB6" s="13"/>
      <c r="AC6" s="13"/>
      <c r="AD6" s="13"/>
      <c r="AE6" s="13">
        <f t="shared" si="1"/>
        <v>0</v>
      </c>
      <c r="AF6" s="13">
        <f t="shared" si="2"/>
        <v>3152.547</v>
      </c>
      <c r="AG6" s="13">
        <f t="shared" si="4"/>
        <v>1828.4772599999999</v>
      </c>
      <c r="AH6" s="13">
        <f t="shared" si="5"/>
        <v>3152.547</v>
      </c>
      <c r="AI6" s="4">
        <f t="shared" si="6"/>
        <v>2049155.55</v>
      </c>
      <c r="AJ6" s="13">
        <f t="shared" si="7"/>
        <v>66203.486999999994</v>
      </c>
      <c r="AK6" s="13">
        <f t="shared" si="8"/>
        <v>762916.37399999995</v>
      </c>
      <c r="AL6" s="13">
        <f t="shared" si="9"/>
        <v>69356.034</v>
      </c>
      <c r="AN6" t="s">
        <v>4</v>
      </c>
      <c r="AO6" s="223">
        <v>13114</v>
      </c>
      <c r="AP6" t="s">
        <v>407</v>
      </c>
      <c r="AQ6" s="2">
        <f>(AO6/1000)*4</f>
        <v>52.456000000000003</v>
      </c>
    </row>
    <row r="7" spans="1:44" x14ac:dyDescent="0.25">
      <c r="A7" t="s">
        <v>5</v>
      </c>
      <c r="B7" s="4"/>
      <c r="C7" s="75"/>
      <c r="D7" s="75"/>
      <c r="E7" s="76"/>
      <c r="F7" s="76"/>
      <c r="G7" s="76"/>
      <c r="H7" s="77"/>
      <c r="I7" s="77"/>
      <c r="J7" s="77"/>
      <c r="K7" s="77"/>
      <c r="L7" s="13"/>
      <c r="M7" s="13"/>
      <c r="N7" s="13"/>
      <c r="O7" s="13"/>
      <c r="Q7" s="4"/>
      <c r="R7" s="5">
        <v>0.08</v>
      </c>
      <c r="S7" s="13">
        <f t="shared" si="3"/>
        <v>0</v>
      </c>
      <c r="T7" s="224">
        <v>2.7E-2</v>
      </c>
      <c r="U7" s="4">
        <f t="shared" si="0"/>
        <v>0</v>
      </c>
      <c r="V7" s="3">
        <v>0.57999999999999996</v>
      </c>
      <c r="W7" s="3">
        <v>1</v>
      </c>
      <c r="Y7" s="13"/>
      <c r="Z7" s="13"/>
      <c r="AA7" s="13"/>
      <c r="AB7" s="13"/>
      <c r="AC7" s="13"/>
      <c r="AD7" s="13"/>
      <c r="AE7" s="13">
        <f t="shared" si="1"/>
        <v>0</v>
      </c>
      <c r="AF7" s="13">
        <f t="shared" si="2"/>
        <v>0</v>
      </c>
      <c r="AG7" s="13">
        <f t="shared" si="4"/>
        <v>0</v>
      </c>
      <c r="AH7" s="13">
        <f t="shared" si="5"/>
        <v>0</v>
      </c>
      <c r="AI7" s="4">
        <f t="shared" si="6"/>
        <v>0</v>
      </c>
      <c r="AJ7" s="13">
        <f t="shared" si="7"/>
        <v>0</v>
      </c>
      <c r="AK7" s="13">
        <f t="shared" si="8"/>
        <v>0</v>
      </c>
      <c r="AL7" s="13">
        <f t="shared" si="9"/>
        <v>0</v>
      </c>
    </row>
    <row r="8" spans="1:44" x14ac:dyDescent="0.25">
      <c r="A8" t="s">
        <v>7</v>
      </c>
      <c r="B8" s="4">
        <v>64695</v>
      </c>
      <c r="C8" s="75"/>
      <c r="D8" s="75"/>
      <c r="E8" s="76"/>
      <c r="F8" s="76"/>
      <c r="G8" s="76"/>
      <c r="H8" s="77"/>
      <c r="I8" s="77"/>
      <c r="J8" s="77"/>
      <c r="K8" s="77"/>
      <c r="L8" s="13"/>
      <c r="M8" s="13"/>
      <c r="N8" s="13"/>
      <c r="O8" s="13"/>
      <c r="P8" s="4"/>
      <c r="Q8" s="4"/>
      <c r="R8" s="5">
        <v>0.08</v>
      </c>
      <c r="S8" s="13">
        <f t="shared" si="3"/>
        <v>5175.6000000000004</v>
      </c>
      <c r="T8" s="224">
        <v>2.7E-2</v>
      </c>
      <c r="U8" s="4">
        <f t="shared" si="0"/>
        <v>1746.7649999999999</v>
      </c>
      <c r="V8" s="3">
        <v>0.57999999999999996</v>
      </c>
      <c r="W8" s="3">
        <v>1</v>
      </c>
      <c r="Y8" s="13"/>
      <c r="Z8" s="13"/>
      <c r="AA8" s="13"/>
      <c r="AB8" s="13"/>
      <c r="AC8" s="13"/>
      <c r="AD8" s="13"/>
      <c r="AE8" s="13">
        <f t="shared" si="1"/>
        <v>0</v>
      </c>
      <c r="AF8" s="13">
        <f t="shared" si="2"/>
        <v>1746.7649999999999</v>
      </c>
      <c r="AG8" s="13">
        <f t="shared" si="4"/>
        <v>1013.1236999999999</v>
      </c>
      <c r="AH8" s="13">
        <f t="shared" si="5"/>
        <v>1746.7649999999999</v>
      </c>
      <c r="AI8" s="4">
        <f t="shared" si="6"/>
        <v>1135397.25</v>
      </c>
      <c r="AJ8" s="13">
        <f t="shared" si="7"/>
        <v>36682.064999999995</v>
      </c>
      <c r="AK8" s="13">
        <f t="shared" si="8"/>
        <v>422717.12999999995</v>
      </c>
      <c r="AL8" s="13">
        <f t="shared" si="9"/>
        <v>38428.829999999994</v>
      </c>
      <c r="AN8" t="s">
        <v>7</v>
      </c>
      <c r="AO8" s="223">
        <v>83457</v>
      </c>
      <c r="AP8" t="s">
        <v>407</v>
      </c>
      <c r="AQ8" s="2">
        <f>(AO8/1000)*4</f>
        <v>333.82799999999997</v>
      </c>
    </row>
    <row r="9" spans="1:44" x14ac:dyDescent="0.25">
      <c r="A9" t="s">
        <v>6</v>
      </c>
      <c r="B9" s="4">
        <v>12586</v>
      </c>
      <c r="C9" s="75"/>
      <c r="D9" s="75"/>
      <c r="E9" s="76"/>
      <c r="F9" s="76"/>
      <c r="G9" s="76"/>
      <c r="H9" s="77"/>
      <c r="I9" s="77"/>
      <c r="J9" s="77"/>
      <c r="K9" s="77"/>
      <c r="L9" s="13"/>
      <c r="M9" s="13"/>
      <c r="N9" s="13"/>
      <c r="O9" s="13"/>
      <c r="P9" s="4"/>
      <c r="Q9" s="4"/>
      <c r="R9" s="5">
        <v>0.08</v>
      </c>
      <c r="S9" s="13">
        <f t="shared" si="3"/>
        <v>1006.88</v>
      </c>
      <c r="T9" s="224">
        <v>2.7E-2</v>
      </c>
      <c r="U9" s="4">
        <f t="shared" si="0"/>
        <v>339.822</v>
      </c>
      <c r="V9" s="3">
        <v>0.57999999999999996</v>
      </c>
      <c r="W9" s="3">
        <v>1</v>
      </c>
      <c r="Y9" s="13"/>
      <c r="Z9" s="13"/>
      <c r="AA9" s="13"/>
      <c r="AB9" s="13"/>
      <c r="AC9" s="13"/>
      <c r="AD9" s="13"/>
      <c r="AE9" s="13">
        <f t="shared" si="1"/>
        <v>0</v>
      </c>
      <c r="AF9" s="13">
        <f t="shared" si="2"/>
        <v>339.822</v>
      </c>
      <c r="AG9" s="13">
        <f t="shared" si="4"/>
        <v>197.09675999999999</v>
      </c>
      <c r="AH9" s="13">
        <f t="shared" si="5"/>
        <v>339.822</v>
      </c>
      <c r="AI9" s="4">
        <f t="shared" si="6"/>
        <v>220884.3</v>
      </c>
      <c r="AJ9" s="13">
        <f t="shared" si="7"/>
        <v>7136.2619999999997</v>
      </c>
      <c r="AK9" s="13">
        <f t="shared" si="8"/>
        <v>82236.923999999999</v>
      </c>
      <c r="AL9" s="13">
        <f t="shared" si="9"/>
        <v>7476.0839999999998</v>
      </c>
      <c r="AN9" t="s">
        <v>6</v>
      </c>
      <c r="AO9" s="223">
        <v>9569</v>
      </c>
      <c r="AP9" t="s">
        <v>407</v>
      </c>
      <c r="AQ9" s="2">
        <f>(AO9/1000)*4</f>
        <v>38.276000000000003</v>
      </c>
    </row>
    <row r="10" spans="1:44" x14ac:dyDescent="0.25">
      <c r="A10" t="s">
        <v>13</v>
      </c>
      <c r="B10" s="4">
        <v>234239</v>
      </c>
      <c r="C10" s="75"/>
      <c r="D10" s="75"/>
      <c r="E10" s="76"/>
      <c r="F10" s="76"/>
      <c r="G10" s="76"/>
      <c r="H10" s="77"/>
      <c r="I10" s="77"/>
      <c r="J10" s="77"/>
      <c r="K10" s="77"/>
      <c r="L10" s="13"/>
      <c r="M10" s="13"/>
      <c r="N10" s="13"/>
      <c r="O10" s="13"/>
      <c r="P10" s="4"/>
      <c r="Q10" s="4"/>
      <c r="R10" s="5">
        <v>0.08</v>
      </c>
      <c r="S10" s="13">
        <f t="shared" si="3"/>
        <v>18739.12</v>
      </c>
      <c r="T10" s="224">
        <v>2.7E-2</v>
      </c>
      <c r="U10" s="4">
        <f t="shared" si="0"/>
        <v>6324.4529999999995</v>
      </c>
      <c r="V10" s="3">
        <v>0.57999999999999996</v>
      </c>
      <c r="W10" s="3">
        <v>1</v>
      </c>
      <c r="Y10" s="13"/>
      <c r="Z10" s="13"/>
      <c r="AA10" s="13"/>
      <c r="AB10" s="13"/>
      <c r="AC10" s="13"/>
      <c r="AD10" s="13"/>
      <c r="AE10" s="13">
        <f t="shared" si="1"/>
        <v>0</v>
      </c>
      <c r="AF10" s="13">
        <f t="shared" si="2"/>
        <v>6324.4529999999995</v>
      </c>
      <c r="AG10" s="13">
        <f t="shared" si="4"/>
        <v>3668.1827399999993</v>
      </c>
      <c r="AH10" s="13">
        <f t="shared" si="5"/>
        <v>6324.4529999999995</v>
      </c>
      <c r="AI10" s="4">
        <f t="shared" si="6"/>
        <v>4110894.4499999997</v>
      </c>
      <c r="AJ10" s="13">
        <f t="shared" si="7"/>
        <v>132813.51299999998</v>
      </c>
      <c r="AK10" s="13">
        <f t="shared" si="8"/>
        <v>1530517.6259999999</v>
      </c>
      <c r="AL10" s="13">
        <f t="shared" si="9"/>
        <v>139137.96599999999</v>
      </c>
      <c r="AN10" t="s">
        <v>13</v>
      </c>
      <c r="AO10" s="223">
        <v>310230</v>
      </c>
      <c r="AP10" t="s">
        <v>407</v>
      </c>
      <c r="AQ10" s="2">
        <f>(AO10/1000)*4</f>
        <v>1240.92</v>
      </c>
    </row>
    <row r="11" spans="1:44" x14ac:dyDescent="0.25">
      <c r="A11" t="s">
        <v>10</v>
      </c>
      <c r="B11" s="4">
        <v>158089</v>
      </c>
      <c r="C11" s="75"/>
      <c r="D11" s="75"/>
      <c r="E11" s="76"/>
      <c r="F11" s="76"/>
      <c r="G11" s="76"/>
      <c r="H11" s="77"/>
      <c r="I11" s="77"/>
      <c r="J11" s="77"/>
      <c r="K11" s="77"/>
      <c r="L11" s="13"/>
      <c r="M11" s="13"/>
      <c r="N11" s="13"/>
      <c r="O11" s="13"/>
      <c r="P11" s="4"/>
      <c r="Q11" s="4"/>
      <c r="R11" s="5">
        <v>0.08</v>
      </c>
      <c r="S11" s="13">
        <f t="shared" si="3"/>
        <v>12647.12</v>
      </c>
      <c r="T11" s="224">
        <v>2.7E-2</v>
      </c>
      <c r="U11" s="4">
        <f t="shared" si="0"/>
        <v>4268.4030000000002</v>
      </c>
      <c r="V11" s="3">
        <v>0.57999999999999996</v>
      </c>
      <c r="W11" s="3">
        <v>1</v>
      </c>
      <c r="Y11" s="13"/>
      <c r="Z11" s="13"/>
      <c r="AA11" s="13"/>
      <c r="AB11" s="13"/>
      <c r="AC11" s="13"/>
      <c r="AD11" s="13"/>
      <c r="AE11" s="13">
        <f t="shared" si="1"/>
        <v>0</v>
      </c>
      <c r="AF11" s="13">
        <f t="shared" si="2"/>
        <v>4268.4030000000002</v>
      </c>
      <c r="AG11" s="13">
        <f t="shared" si="4"/>
        <v>2475.6737400000002</v>
      </c>
      <c r="AH11" s="13">
        <f t="shared" si="5"/>
        <v>4268.4030000000002</v>
      </c>
      <c r="AI11" s="4">
        <f t="shared" si="6"/>
        <v>2774461.95</v>
      </c>
      <c r="AJ11" s="13">
        <f t="shared" si="7"/>
        <v>89636.463000000003</v>
      </c>
      <c r="AK11" s="13">
        <f t="shared" si="8"/>
        <v>1032953.5260000001</v>
      </c>
      <c r="AL11" s="13">
        <f t="shared" si="9"/>
        <v>93904.866000000009</v>
      </c>
      <c r="AN11" t="s">
        <v>10</v>
      </c>
      <c r="AO11" s="223">
        <v>589861</v>
      </c>
      <c r="AP11" t="s">
        <v>407</v>
      </c>
      <c r="AQ11" s="2">
        <f>(AO11/1000)*4</f>
        <v>2359.444</v>
      </c>
    </row>
    <row r="12" spans="1:44" x14ac:dyDescent="0.25">
      <c r="A12" t="s">
        <v>9</v>
      </c>
      <c r="B12" s="4">
        <v>91216</v>
      </c>
      <c r="C12" s="75"/>
      <c r="D12" s="75"/>
      <c r="E12" s="76"/>
      <c r="F12" s="76"/>
      <c r="G12" s="76"/>
      <c r="H12" s="77"/>
      <c r="I12" s="77"/>
      <c r="J12" s="77"/>
      <c r="K12" s="77"/>
      <c r="L12" s="13"/>
      <c r="M12" s="13"/>
      <c r="N12" s="13"/>
      <c r="O12" s="13"/>
      <c r="P12" s="4"/>
      <c r="Q12" s="4"/>
      <c r="R12" s="5">
        <v>0.08</v>
      </c>
      <c r="S12" s="13">
        <f t="shared" si="3"/>
        <v>7297.28</v>
      </c>
      <c r="T12" s="224">
        <v>2.7E-2</v>
      </c>
      <c r="U12" s="4">
        <f t="shared" si="0"/>
        <v>2462.8319999999999</v>
      </c>
      <c r="V12" s="3">
        <v>0.57999999999999996</v>
      </c>
      <c r="W12" s="3">
        <v>1</v>
      </c>
      <c r="Y12" s="13"/>
      <c r="Z12" s="13"/>
      <c r="AA12" s="13"/>
      <c r="AB12" s="13"/>
      <c r="AC12" s="13"/>
      <c r="AD12" s="13"/>
      <c r="AE12" s="13">
        <f t="shared" si="1"/>
        <v>0</v>
      </c>
      <c r="AF12" s="13">
        <f t="shared" si="2"/>
        <v>2462.8319999999999</v>
      </c>
      <c r="AG12" s="13">
        <f t="shared" si="4"/>
        <v>1428.4425599999997</v>
      </c>
      <c r="AH12" s="13">
        <f t="shared" si="5"/>
        <v>2462.8319999999999</v>
      </c>
      <c r="AI12" s="4">
        <f t="shared" si="6"/>
        <v>1600840.7999999998</v>
      </c>
      <c r="AJ12" s="13">
        <f t="shared" si="7"/>
        <v>51719.471999999994</v>
      </c>
      <c r="AK12" s="13">
        <f t="shared" si="8"/>
        <v>596005.34399999992</v>
      </c>
      <c r="AL12" s="13">
        <f t="shared" si="9"/>
        <v>54182.303999999996</v>
      </c>
      <c r="AN12" t="s">
        <v>9</v>
      </c>
      <c r="AO12">
        <v>30995</v>
      </c>
      <c r="AP12" t="s">
        <v>407</v>
      </c>
      <c r="AQ12" s="2">
        <f>(AO12/1000)*4</f>
        <v>123.98</v>
      </c>
    </row>
    <row r="13" spans="1:44" x14ac:dyDescent="0.25">
      <c r="A13" t="s">
        <v>12</v>
      </c>
      <c r="B13" s="4">
        <v>48859</v>
      </c>
      <c r="C13" s="75"/>
      <c r="D13" s="75"/>
      <c r="E13" s="76"/>
      <c r="F13" s="76"/>
      <c r="G13" s="76"/>
      <c r="H13" s="77"/>
      <c r="I13" s="77"/>
      <c r="J13" s="77"/>
      <c r="K13" s="77"/>
      <c r="L13" s="13"/>
      <c r="M13" s="13"/>
      <c r="N13" s="13"/>
      <c r="O13" s="13"/>
      <c r="Q13" s="4"/>
      <c r="R13" s="5">
        <v>0.08</v>
      </c>
      <c r="S13" s="13">
        <f t="shared" si="3"/>
        <v>3908.7200000000003</v>
      </c>
      <c r="T13" s="224">
        <v>2.7E-2</v>
      </c>
      <c r="U13" s="4">
        <f t="shared" si="0"/>
        <v>1319.193</v>
      </c>
      <c r="V13" s="3">
        <v>0.57999999999999996</v>
      </c>
      <c r="W13" s="3">
        <v>1</v>
      </c>
      <c r="Y13" s="13"/>
      <c r="Z13" s="13"/>
      <c r="AA13" s="13"/>
      <c r="AB13" s="13"/>
      <c r="AC13" s="13"/>
      <c r="AD13" s="13"/>
      <c r="AE13" s="13">
        <f t="shared" si="1"/>
        <v>0</v>
      </c>
      <c r="AF13" s="13">
        <f t="shared" si="2"/>
        <v>1319.193</v>
      </c>
      <c r="AG13" s="13">
        <f t="shared" si="4"/>
        <v>765.13193999999999</v>
      </c>
      <c r="AH13" s="13">
        <f t="shared" si="5"/>
        <v>1319.193</v>
      </c>
      <c r="AI13" s="4">
        <f t="shared" si="6"/>
        <v>857475.45</v>
      </c>
      <c r="AJ13" s="13">
        <f t="shared" si="7"/>
        <v>27703.053</v>
      </c>
      <c r="AK13" s="13">
        <f t="shared" si="8"/>
        <v>319244.70600000001</v>
      </c>
      <c r="AL13" s="13">
        <f t="shared" si="9"/>
        <v>29022.245999999999</v>
      </c>
      <c r="AN13" t="s">
        <v>12</v>
      </c>
      <c r="AO13">
        <v>6.58</v>
      </c>
      <c r="AP13" t="s">
        <v>202</v>
      </c>
      <c r="AQ13" s="2">
        <f>(AO13)*175</f>
        <v>1151.5</v>
      </c>
    </row>
    <row r="14" spans="1:44" x14ac:dyDescent="0.25">
      <c r="A14" t="s">
        <v>14</v>
      </c>
      <c r="B14" s="4">
        <v>435514</v>
      </c>
      <c r="C14" s="75"/>
      <c r="D14" s="75"/>
      <c r="E14" s="76"/>
      <c r="F14" s="76"/>
      <c r="G14" s="76"/>
      <c r="H14" s="77"/>
      <c r="I14" s="77"/>
      <c r="J14" s="77"/>
      <c r="K14" s="77"/>
      <c r="L14" s="13"/>
      <c r="M14" s="13"/>
      <c r="N14" s="13"/>
      <c r="O14" s="13"/>
      <c r="P14" s="4"/>
      <c r="Q14" s="4"/>
      <c r="R14" s="5">
        <v>0.08</v>
      </c>
      <c r="S14" s="13">
        <f t="shared" si="3"/>
        <v>34841.120000000003</v>
      </c>
      <c r="T14" s="224">
        <v>2.7E-2</v>
      </c>
      <c r="U14" s="4">
        <f t="shared" si="0"/>
        <v>11758.878000000001</v>
      </c>
      <c r="V14" s="3">
        <v>0.57999999999999996</v>
      </c>
      <c r="W14" s="3">
        <v>1</v>
      </c>
      <c r="X14" s="3"/>
      <c r="Y14" s="13"/>
      <c r="Z14" s="13"/>
      <c r="AA14" s="13"/>
      <c r="AB14" s="13"/>
      <c r="AC14" s="13"/>
      <c r="AD14" s="13"/>
      <c r="AE14" s="13">
        <f t="shared" si="1"/>
        <v>0</v>
      </c>
      <c r="AF14" s="13">
        <f t="shared" si="2"/>
        <v>11758.878000000001</v>
      </c>
      <c r="AG14" s="13">
        <f t="shared" si="4"/>
        <v>6820.1492399999997</v>
      </c>
      <c r="AH14" s="13">
        <f t="shared" si="5"/>
        <v>11758.878000000001</v>
      </c>
      <c r="AI14" s="4">
        <f t="shared" si="6"/>
        <v>7643270.7000000002</v>
      </c>
      <c r="AJ14" s="13">
        <f t="shared" si="7"/>
        <v>246936.43800000002</v>
      </c>
      <c r="AK14" s="13">
        <f t="shared" si="8"/>
        <v>2845648.4760000003</v>
      </c>
      <c r="AL14" s="13">
        <f t="shared" si="9"/>
        <v>258695.31600000002</v>
      </c>
      <c r="AN14" t="s">
        <v>14</v>
      </c>
      <c r="AO14" s="223">
        <v>230192</v>
      </c>
      <c r="AP14" t="s">
        <v>407</v>
      </c>
      <c r="AQ14" s="2">
        <f>(AO14/1000)*4</f>
        <v>920.76800000000003</v>
      </c>
    </row>
    <row r="15" spans="1:44" x14ac:dyDescent="0.25">
      <c r="A15" t="s">
        <v>16</v>
      </c>
      <c r="B15" s="4"/>
      <c r="C15" s="75"/>
      <c r="D15" s="75"/>
      <c r="E15" s="76"/>
      <c r="F15" s="76"/>
      <c r="G15" s="76"/>
      <c r="H15" s="77"/>
      <c r="I15" s="77"/>
      <c r="J15" s="77"/>
      <c r="K15" s="77"/>
      <c r="L15" s="13"/>
      <c r="M15" s="13"/>
      <c r="N15" s="13"/>
      <c r="O15" s="13"/>
      <c r="Q15" s="4"/>
      <c r="R15" s="5">
        <v>0.08</v>
      </c>
      <c r="S15" s="13">
        <f t="shared" si="3"/>
        <v>0</v>
      </c>
      <c r="T15" s="224">
        <v>2.7E-2</v>
      </c>
      <c r="U15" s="4">
        <f t="shared" si="0"/>
        <v>0</v>
      </c>
      <c r="V15" s="3">
        <v>0.57999999999999996</v>
      </c>
      <c r="W15" s="3">
        <v>1</v>
      </c>
      <c r="Y15" s="13"/>
      <c r="Z15" s="13"/>
      <c r="AA15" s="13"/>
      <c r="AB15" s="13"/>
      <c r="AC15" s="13"/>
      <c r="AD15" s="13"/>
      <c r="AE15" s="13">
        <f t="shared" si="1"/>
        <v>0</v>
      </c>
      <c r="AF15" s="13">
        <f t="shared" si="2"/>
        <v>0</v>
      </c>
      <c r="AG15" s="13">
        <f t="shared" si="4"/>
        <v>0</v>
      </c>
      <c r="AH15" s="13">
        <f t="shared" si="5"/>
        <v>0</v>
      </c>
      <c r="AI15" s="4">
        <f t="shared" si="6"/>
        <v>0</v>
      </c>
      <c r="AJ15" s="13">
        <f t="shared" si="7"/>
        <v>0</v>
      </c>
      <c r="AK15" s="13">
        <f t="shared" si="8"/>
        <v>0</v>
      </c>
      <c r="AL15" s="13">
        <f t="shared" si="9"/>
        <v>0</v>
      </c>
    </row>
    <row r="16" spans="1:44" x14ac:dyDescent="0.25">
      <c r="A16" t="s">
        <v>17</v>
      </c>
      <c r="B16" s="4">
        <v>11296</v>
      </c>
      <c r="C16" s="75"/>
      <c r="D16" s="75"/>
      <c r="E16" s="76"/>
      <c r="F16" s="76"/>
      <c r="G16" s="76"/>
      <c r="H16" s="77"/>
      <c r="I16" s="77"/>
      <c r="J16" s="77"/>
      <c r="K16" s="77"/>
      <c r="L16" s="13"/>
      <c r="M16" s="13"/>
      <c r="N16" s="13"/>
      <c r="O16" s="13"/>
      <c r="P16" s="4"/>
      <c r="Q16" s="4"/>
      <c r="R16" s="5">
        <v>0.08</v>
      </c>
      <c r="S16" s="13">
        <f t="shared" si="3"/>
        <v>903.68000000000006</v>
      </c>
      <c r="T16" s="224">
        <v>2.7E-2</v>
      </c>
      <c r="U16" s="4">
        <f t="shared" si="0"/>
        <v>304.99200000000002</v>
      </c>
      <c r="V16" s="3">
        <v>0.57999999999999996</v>
      </c>
      <c r="W16" s="3">
        <v>1</v>
      </c>
      <c r="Y16" s="13"/>
      <c r="Z16" s="13"/>
      <c r="AA16" s="13"/>
      <c r="AB16" s="13"/>
      <c r="AC16" s="13"/>
      <c r="AD16" s="13"/>
      <c r="AE16" s="13">
        <f t="shared" si="1"/>
        <v>0</v>
      </c>
      <c r="AF16" s="13">
        <f t="shared" si="2"/>
        <v>304.99200000000002</v>
      </c>
      <c r="AG16" s="13">
        <f t="shared" si="4"/>
        <v>176.89536000000001</v>
      </c>
      <c r="AH16" s="13">
        <f t="shared" si="5"/>
        <v>304.99200000000002</v>
      </c>
      <c r="AI16" s="4">
        <f t="shared" si="6"/>
        <v>198244.80000000002</v>
      </c>
      <c r="AJ16" s="13">
        <f t="shared" si="7"/>
        <v>6404.8320000000003</v>
      </c>
      <c r="AK16" s="13">
        <f t="shared" si="8"/>
        <v>73808.063999999998</v>
      </c>
      <c r="AL16" s="13">
        <f t="shared" si="9"/>
        <v>6709.8240000000005</v>
      </c>
      <c r="AN16" t="s">
        <v>17</v>
      </c>
      <c r="AO16">
        <v>59330</v>
      </c>
      <c r="AP16" t="s">
        <v>407</v>
      </c>
      <c r="AQ16" s="2">
        <f>(AO16/1000)*4</f>
        <v>237.32</v>
      </c>
    </row>
    <row r="17" spans="1:44" x14ac:dyDescent="0.25">
      <c r="A17" t="s">
        <v>8</v>
      </c>
      <c r="B17" s="4">
        <v>78371</v>
      </c>
      <c r="C17" s="75"/>
      <c r="D17" s="75"/>
      <c r="E17" s="76"/>
      <c r="F17" s="76"/>
      <c r="G17" s="76"/>
      <c r="H17" s="77"/>
      <c r="I17" s="77"/>
      <c r="J17" s="77"/>
      <c r="K17" s="77"/>
      <c r="L17" s="13"/>
      <c r="M17" s="13"/>
      <c r="N17" s="13"/>
      <c r="O17" s="13"/>
      <c r="Q17" s="4"/>
      <c r="R17" s="5">
        <v>0.08</v>
      </c>
      <c r="S17" s="13">
        <f t="shared" si="3"/>
        <v>6269.68</v>
      </c>
      <c r="T17" s="224">
        <v>2.7E-2</v>
      </c>
      <c r="U17" s="4">
        <f t="shared" si="0"/>
        <v>2116.0169999999998</v>
      </c>
      <c r="V17" s="3">
        <v>0.57999999999999996</v>
      </c>
      <c r="W17" s="3">
        <v>1</v>
      </c>
      <c r="X17" s="3"/>
      <c r="Y17" s="13"/>
      <c r="Z17" s="13"/>
      <c r="AA17" s="13"/>
      <c r="AB17" s="13"/>
      <c r="AC17" s="13"/>
      <c r="AD17" s="13"/>
      <c r="AE17" s="13">
        <f t="shared" si="1"/>
        <v>0</v>
      </c>
      <c r="AF17" s="13">
        <f t="shared" si="2"/>
        <v>2116.0169999999998</v>
      </c>
      <c r="AG17" s="13">
        <f t="shared" si="4"/>
        <v>1227.2898599999999</v>
      </c>
      <c r="AH17" s="13">
        <f t="shared" si="5"/>
        <v>2116.0169999999998</v>
      </c>
      <c r="AI17" s="4">
        <f t="shared" si="6"/>
        <v>1375411.0499999998</v>
      </c>
      <c r="AJ17" s="13">
        <f t="shared" si="7"/>
        <v>44436.356999999996</v>
      </c>
      <c r="AK17" s="13">
        <f t="shared" si="8"/>
        <v>512076.11399999994</v>
      </c>
      <c r="AL17" s="13">
        <f t="shared" si="9"/>
        <v>46552.373999999996</v>
      </c>
      <c r="AN17" t="s">
        <v>8</v>
      </c>
      <c r="AO17">
        <v>22.7</v>
      </c>
      <c r="AP17" t="s">
        <v>202</v>
      </c>
      <c r="AQ17" s="2">
        <f>(AO17)*175</f>
        <v>3972.5</v>
      </c>
    </row>
    <row r="18" spans="1:44" x14ac:dyDescent="0.25">
      <c r="A18" t="s">
        <v>15</v>
      </c>
      <c r="B18" s="4">
        <v>87289</v>
      </c>
      <c r="C18" s="75"/>
      <c r="D18" s="75"/>
      <c r="E18" s="76"/>
      <c r="F18" s="76"/>
      <c r="G18" s="76"/>
      <c r="H18" s="77"/>
      <c r="I18" s="77"/>
      <c r="J18" s="77"/>
      <c r="K18" s="77"/>
      <c r="L18" s="13"/>
      <c r="M18" s="13"/>
      <c r="N18" s="13"/>
      <c r="O18" s="13"/>
      <c r="P18" s="4"/>
      <c r="Q18" s="4"/>
      <c r="R18" s="5">
        <v>0.08</v>
      </c>
      <c r="S18" s="13">
        <f t="shared" si="3"/>
        <v>6983.12</v>
      </c>
      <c r="T18" s="224">
        <v>2.7E-2</v>
      </c>
      <c r="U18" s="4">
        <f t="shared" si="0"/>
        <v>2356.8029999999999</v>
      </c>
      <c r="V18" s="3">
        <v>0.57999999999999996</v>
      </c>
      <c r="W18" s="3">
        <v>1</v>
      </c>
      <c r="Y18" s="13"/>
      <c r="Z18" s="13"/>
      <c r="AA18" s="13"/>
      <c r="AB18" s="13"/>
      <c r="AC18" s="13"/>
      <c r="AD18" s="13"/>
      <c r="AE18" s="13">
        <f t="shared" si="1"/>
        <v>0</v>
      </c>
      <c r="AF18" s="13">
        <f t="shared" si="2"/>
        <v>2356.8029999999999</v>
      </c>
      <c r="AG18" s="13">
        <f t="shared" si="4"/>
        <v>1366.9457399999999</v>
      </c>
      <c r="AH18" s="13">
        <f t="shared" si="5"/>
        <v>2356.8029999999999</v>
      </c>
      <c r="AI18" s="4">
        <f t="shared" si="6"/>
        <v>1531921.95</v>
      </c>
      <c r="AJ18" s="13">
        <f t="shared" si="7"/>
        <v>49492.862999999998</v>
      </c>
      <c r="AK18" s="13">
        <f t="shared" si="8"/>
        <v>570346.326</v>
      </c>
      <c r="AL18" s="13">
        <f t="shared" si="9"/>
        <v>51849.665999999997</v>
      </c>
      <c r="AN18" t="s">
        <v>15</v>
      </c>
      <c r="AO18" s="223">
        <v>129902</v>
      </c>
      <c r="AP18" t="s">
        <v>407</v>
      </c>
      <c r="AQ18" s="2">
        <f>(AO18/1000)*4</f>
        <v>519.60799999999995</v>
      </c>
    </row>
    <row r="19" spans="1:44" x14ac:dyDescent="0.25">
      <c r="A19" t="s">
        <v>11</v>
      </c>
      <c r="B19" s="4">
        <v>72779</v>
      </c>
      <c r="C19" s="75"/>
      <c r="D19" s="75"/>
      <c r="E19" s="76"/>
      <c r="F19" s="76"/>
      <c r="G19" s="76"/>
      <c r="H19" s="77"/>
      <c r="I19" s="77"/>
      <c r="J19" s="77"/>
      <c r="K19" s="77"/>
      <c r="L19" s="13"/>
      <c r="M19" s="13"/>
      <c r="N19" s="13"/>
      <c r="O19" s="13"/>
      <c r="P19" s="4"/>
      <c r="Q19" s="4"/>
      <c r="R19" s="5">
        <v>0.08</v>
      </c>
      <c r="S19" s="13">
        <f t="shared" si="3"/>
        <v>5822.32</v>
      </c>
      <c r="T19" s="224">
        <v>2.7E-2</v>
      </c>
      <c r="U19" s="4">
        <f t="shared" si="0"/>
        <v>1965.0329999999999</v>
      </c>
      <c r="V19" s="3">
        <v>0.57999999999999996</v>
      </c>
      <c r="W19" s="3">
        <v>1</v>
      </c>
      <c r="X19" s="5"/>
      <c r="Y19" s="13"/>
      <c r="Z19" s="13"/>
      <c r="AA19" s="13"/>
      <c r="AB19" s="13"/>
      <c r="AC19" s="13"/>
      <c r="AD19" s="13"/>
      <c r="AE19" s="13">
        <f t="shared" si="1"/>
        <v>0</v>
      </c>
      <c r="AF19" s="13">
        <f t="shared" si="2"/>
        <v>1965.0329999999999</v>
      </c>
      <c r="AG19" s="13">
        <f t="shared" si="4"/>
        <v>1139.7191399999999</v>
      </c>
      <c r="AH19" s="13">
        <f t="shared" si="5"/>
        <v>1965.0329999999999</v>
      </c>
      <c r="AI19" s="4">
        <f t="shared" si="6"/>
        <v>1277271.45</v>
      </c>
      <c r="AJ19" s="13">
        <f t="shared" si="7"/>
        <v>41265.692999999999</v>
      </c>
      <c r="AK19" s="13">
        <f t="shared" si="8"/>
        <v>475537.98599999998</v>
      </c>
      <c r="AL19" s="13">
        <f t="shared" si="9"/>
        <v>43230.725999999995</v>
      </c>
      <c r="AR19" t="s">
        <v>454</v>
      </c>
    </row>
    <row r="20" spans="1:44" x14ac:dyDescent="0.25">
      <c r="A20" t="s">
        <v>180</v>
      </c>
      <c r="B20" s="4">
        <f>SUM(B3:B19)</f>
        <v>1648083</v>
      </c>
      <c r="C20" s="68">
        <f>SUM(C2:C19)</f>
        <v>0</v>
      </c>
      <c r="D20" s="68">
        <f>SUM(D2:D19)</f>
        <v>0</v>
      </c>
      <c r="E20" s="69">
        <f>SUM(E3:E19)</f>
        <v>0</v>
      </c>
      <c r="F20" s="69">
        <f>SUM(F2:F19)</f>
        <v>0</v>
      </c>
      <c r="G20" s="69">
        <f t="shared" ref="G20:K20" si="10">SUM(G2:G19)</f>
        <v>0</v>
      </c>
      <c r="H20" s="69">
        <f t="shared" si="10"/>
        <v>0</v>
      </c>
      <c r="I20" s="69">
        <f t="shared" si="10"/>
        <v>0</v>
      </c>
      <c r="J20" s="69">
        <f t="shared" si="10"/>
        <v>0</v>
      </c>
      <c r="K20" s="69">
        <f t="shared" si="10"/>
        <v>0</v>
      </c>
      <c r="L20" s="13">
        <f>SUM(L2:L19)</f>
        <v>0</v>
      </c>
      <c r="M20" s="13"/>
      <c r="N20" s="13"/>
      <c r="O20" s="13"/>
      <c r="P20" s="13"/>
      <c r="Q20" s="13"/>
      <c r="R20" s="5">
        <v>0.08</v>
      </c>
      <c r="S20" s="13">
        <f>SUM(S3:S19)</f>
        <v>131846.63999999998</v>
      </c>
      <c r="T20" s="224">
        <v>2.7E-2</v>
      </c>
      <c r="U20" s="13">
        <f>SUM(U2:U19)</f>
        <v>44498.240999999995</v>
      </c>
      <c r="V20" s="13">
        <f t="shared" ref="V20" si="11">SUM(V2:V19)</f>
        <v>9.86</v>
      </c>
      <c r="W20" s="13">
        <f t="shared" ref="W20" si="12">SUM(W2:W19)</f>
        <v>17</v>
      </c>
      <c r="X20" s="13">
        <f t="shared" ref="X20" si="13">SUM(X2:X19)</f>
        <v>0</v>
      </c>
      <c r="Y20" s="13">
        <f t="shared" ref="Y20" si="14">SUM(Y2:Y19)</f>
        <v>0</v>
      </c>
      <c r="Z20" s="13"/>
      <c r="AA20" s="13"/>
      <c r="AB20" s="13">
        <v>0</v>
      </c>
      <c r="AC20" s="13"/>
      <c r="AD20" s="13"/>
      <c r="AE20" s="13">
        <f t="shared" si="1"/>
        <v>0</v>
      </c>
      <c r="AF20" s="13">
        <f t="shared" si="2"/>
        <v>44498.240999999995</v>
      </c>
      <c r="AG20" s="13">
        <f t="shared" si="4"/>
        <v>25808.979779999994</v>
      </c>
      <c r="AH20" s="13">
        <f t="shared" si="5"/>
        <v>44498.240999999995</v>
      </c>
      <c r="AI20" s="4">
        <f t="shared" si="6"/>
        <v>28923856.649999995</v>
      </c>
      <c r="AJ20" s="13">
        <f t="shared" si="7"/>
        <v>934463.06099999987</v>
      </c>
      <c r="AK20" s="13">
        <f t="shared" si="8"/>
        <v>10768574.321999999</v>
      </c>
      <c r="AL20" s="13">
        <f t="shared" si="9"/>
        <v>978961.30199999991</v>
      </c>
    </row>
    <row r="21" spans="1:44" x14ac:dyDescent="0.25">
      <c r="H21" s="70"/>
      <c r="I21" s="70"/>
      <c r="J21" s="70"/>
      <c r="K21" s="70"/>
      <c r="L21" s="13"/>
      <c r="M21" s="13"/>
      <c r="N21" s="13"/>
      <c r="O21" s="13"/>
      <c r="P21" s="13"/>
      <c r="Q21" s="13"/>
      <c r="R21" s="13"/>
      <c r="S21" s="13"/>
      <c r="Y21" s="13"/>
      <c r="Z21" s="13"/>
      <c r="AA21" s="13"/>
      <c r="AB21" s="13"/>
      <c r="AC21" s="13"/>
      <c r="AD21" s="13"/>
      <c r="AE21" s="13"/>
    </row>
    <row r="22" spans="1:44" x14ac:dyDescent="0.25">
      <c r="A22" t="s">
        <v>372</v>
      </c>
      <c r="H22" s="70"/>
      <c r="I22" s="70"/>
      <c r="J22" s="70"/>
      <c r="K22" s="70"/>
      <c r="L22" s="13"/>
      <c r="M22" s="13"/>
      <c r="N22" s="13"/>
      <c r="O22" s="13"/>
      <c r="P22" s="13"/>
      <c r="Q22" s="13"/>
      <c r="R22" s="13"/>
      <c r="S22" s="13"/>
      <c r="U22" s="5"/>
      <c r="Y22" s="13"/>
      <c r="Z22" s="13"/>
      <c r="AA22" s="13"/>
      <c r="AB22" s="13"/>
      <c r="AC22" s="13"/>
      <c r="AD22" s="13"/>
      <c r="AE22" s="13"/>
    </row>
    <row r="23" spans="1:44" x14ac:dyDescent="0.25">
      <c r="A23" s="214" t="s">
        <v>373</v>
      </c>
    </row>
    <row r="24" spans="1:44" x14ac:dyDescent="0.25">
      <c r="A24" t="s">
        <v>459</v>
      </c>
    </row>
    <row r="28" spans="1:44" x14ac:dyDescent="0.25">
      <c r="A28" s="16"/>
      <c r="B28" s="16"/>
      <c r="T28" s="17"/>
      <c r="U28" s="16"/>
    </row>
    <row r="29" spans="1:44" x14ac:dyDescent="0.25">
      <c r="A29" s="16"/>
      <c r="B29" s="16"/>
      <c r="T29" s="18"/>
      <c r="U29" s="19"/>
    </row>
    <row r="30" spans="1:44" hidden="1" x14ac:dyDescent="0.25">
      <c r="A30" t="s">
        <v>178</v>
      </c>
    </row>
    <row r="31" spans="1:44" hidden="1" x14ac:dyDescent="0.25">
      <c r="A31" t="s">
        <v>179</v>
      </c>
    </row>
  </sheetData>
  <hyperlinks>
    <hyperlink ref="A23" r:id="rId1" xr:uid="{1F066727-84DA-426A-BACE-E329479D9954}"/>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W42"/>
  <sheetViews>
    <sheetView topLeftCell="H1" zoomScale="110" zoomScaleNormal="110" workbookViewId="0">
      <selection activeCell="A8" sqref="A8"/>
    </sheetView>
  </sheetViews>
  <sheetFormatPr defaultRowHeight="15" x14ac:dyDescent="0.25"/>
  <cols>
    <col min="1" max="1" width="16.7109375" style="130" bestFit="1" customWidth="1"/>
    <col min="2" max="2" width="23.28515625" bestFit="1" customWidth="1"/>
    <col min="3" max="3" width="13.85546875" bestFit="1" customWidth="1"/>
    <col min="4" max="4" width="6" bestFit="1" customWidth="1"/>
    <col min="5" max="5" width="18.7109375" bestFit="1" customWidth="1"/>
    <col min="6" max="6" width="17.7109375" style="4" bestFit="1" customWidth="1"/>
    <col min="7" max="7" width="15.5703125" style="104" bestFit="1" customWidth="1"/>
    <col min="8" max="8" width="21" style="118" bestFit="1" customWidth="1"/>
    <col min="9" max="9" width="22" bestFit="1" customWidth="1"/>
    <col min="10" max="10" width="5" bestFit="1" customWidth="1"/>
    <col min="11" max="11" width="18.7109375" bestFit="1" customWidth="1"/>
    <col min="12" max="12" width="15.42578125" style="4" bestFit="1" customWidth="1"/>
    <col min="13" max="13" width="12.28515625" style="130" bestFit="1" customWidth="1"/>
    <col min="16" max="16" width="17.5703125" style="124" bestFit="1" customWidth="1"/>
    <col min="17" max="17" width="31.140625" style="124" bestFit="1" customWidth="1"/>
    <col min="18" max="18" width="18.42578125" style="124" bestFit="1" customWidth="1"/>
    <col min="19" max="19" width="4.85546875" style="124" bestFit="1" customWidth="1"/>
    <col min="20" max="20" width="18.7109375" style="124" bestFit="1" customWidth="1"/>
    <col min="21" max="21" width="21" style="124" bestFit="1" customWidth="1"/>
    <col min="22" max="22" width="22" style="124" bestFit="1" customWidth="1"/>
    <col min="23" max="23" width="4.85546875" style="124" bestFit="1" customWidth="1"/>
    <col min="24" max="24" width="16.7109375" bestFit="1" customWidth="1"/>
  </cols>
  <sheetData>
    <row r="1" spans="1:23" s="6" customFormat="1" x14ac:dyDescent="0.25">
      <c r="A1" s="129" t="s">
        <v>188</v>
      </c>
      <c r="B1" s="6" t="s">
        <v>193</v>
      </c>
      <c r="C1" s="6" t="s">
        <v>195</v>
      </c>
      <c r="D1" s="6" t="s">
        <v>189</v>
      </c>
      <c r="E1" s="6" t="s">
        <v>203</v>
      </c>
      <c r="F1" s="122" t="s">
        <v>208</v>
      </c>
      <c r="G1" s="128" t="s">
        <v>211</v>
      </c>
      <c r="H1" s="121" t="s">
        <v>194</v>
      </c>
      <c r="I1" s="6" t="s">
        <v>209</v>
      </c>
      <c r="J1" s="6" t="s">
        <v>189</v>
      </c>
      <c r="K1" s="6" t="s">
        <v>203</v>
      </c>
      <c r="L1" s="122" t="s">
        <v>210</v>
      </c>
      <c r="M1" s="129" t="s">
        <v>212</v>
      </c>
      <c r="P1" s="123" t="s">
        <v>188</v>
      </c>
      <c r="Q1" s="123" t="s">
        <v>207</v>
      </c>
      <c r="R1" s="123" t="s">
        <v>195</v>
      </c>
      <c r="S1" s="123" t="s">
        <v>189</v>
      </c>
      <c r="T1" s="123" t="s">
        <v>203</v>
      </c>
      <c r="U1" s="123" t="s">
        <v>194</v>
      </c>
      <c r="V1" s="123" t="s">
        <v>209</v>
      </c>
      <c r="W1" s="123" t="s">
        <v>189</v>
      </c>
    </row>
    <row r="2" spans="1:23" x14ac:dyDescent="0.25">
      <c r="A2" s="130" t="s">
        <v>192</v>
      </c>
      <c r="B2" s="117">
        <v>1.3</v>
      </c>
      <c r="C2">
        <v>1</v>
      </c>
      <c r="D2">
        <v>20</v>
      </c>
      <c r="E2" t="s">
        <v>202</v>
      </c>
      <c r="F2" s="4">
        <f>IF(E2="acres",B2*C2*D2*134,IF(E2="square feet",B2*C2*D2*0.003))</f>
        <v>3484</v>
      </c>
      <c r="G2" s="115" t="s">
        <v>214</v>
      </c>
      <c r="H2" s="120">
        <v>3</v>
      </c>
      <c r="I2">
        <v>3</v>
      </c>
      <c r="J2">
        <v>10</v>
      </c>
      <c r="K2" t="s">
        <v>202</v>
      </c>
      <c r="L2" s="4">
        <f>IF(K2="acres",H2/I2*J2*134,IF(K2="square feet",H2/I2*J2*0.003))</f>
        <v>1340</v>
      </c>
      <c r="P2" s="124" t="s">
        <v>190</v>
      </c>
      <c r="Q2" s="125">
        <v>0.25</v>
      </c>
      <c r="R2" s="124">
        <v>0.5</v>
      </c>
      <c r="T2" s="124" t="s">
        <v>201</v>
      </c>
      <c r="U2" s="126">
        <v>1</v>
      </c>
      <c r="V2" s="124">
        <v>1</v>
      </c>
    </row>
    <row r="3" spans="1:23" x14ac:dyDescent="0.25">
      <c r="A3" s="130" t="s">
        <v>191</v>
      </c>
      <c r="B3" s="117">
        <v>0.25</v>
      </c>
      <c r="C3">
        <v>2</v>
      </c>
      <c r="D3">
        <v>60</v>
      </c>
      <c r="E3" t="s">
        <v>202</v>
      </c>
      <c r="F3" s="4">
        <f t="shared" ref="F3:F7" si="0">IF(E3="acres",B3*C3*D3*134,IF(E3="square feet",B3*C3*D3*0.003))</f>
        <v>4020</v>
      </c>
      <c r="H3" s="120"/>
      <c r="L3" s="4" t="b">
        <f t="shared" ref="L3:L6" si="1">IF(K3="acres",H3/I3*J3*134,IF(K3="square feet",H3/I3*J3*0.003))</f>
        <v>0</v>
      </c>
      <c r="P3" s="124" t="s">
        <v>191</v>
      </c>
      <c r="Q3" s="125">
        <v>0.5</v>
      </c>
      <c r="R3" s="124">
        <v>1</v>
      </c>
      <c r="T3" s="124" t="s">
        <v>202</v>
      </c>
      <c r="U3" s="126">
        <v>2</v>
      </c>
      <c r="V3" s="124">
        <v>2</v>
      </c>
    </row>
    <row r="4" spans="1:23" x14ac:dyDescent="0.25">
      <c r="B4" s="117"/>
      <c r="F4" s="4" t="b">
        <f t="shared" si="0"/>
        <v>0</v>
      </c>
      <c r="H4" s="120"/>
      <c r="L4" s="4" t="b">
        <f t="shared" si="1"/>
        <v>0</v>
      </c>
      <c r="P4" s="124" t="s">
        <v>196</v>
      </c>
      <c r="Q4" s="125">
        <v>1</v>
      </c>
      <c r="R4" s="124">
        <v>2</v>
      </c>
      <c r="U4" s="126">
        <v>3</v>
      </c>
      <c r="V4" s="124">
        <v>3</v>
      </c>
    </row>
    <row r="5" spans="1:23" x14ac:dyDescent="0.25">
      <c r="B5" s="117"/>
      <c r="F5" s="4" t="b">
        <f t="shared" si="0"/>
        <v>0</v>
      </c>
      <c r="H5" s="120"/>
      <c r="L5" s="4" t="b">
        <f t="shared" si="1"/>
        <v>0</v>
      </c>
      <c r="P5" s="124" t="s">
        <v>192</v>
      </c>
      <c r="Q5" s="125">
        <v>1.25</v>
      </c>
      <c r="R5" s="124">
        <v>3</v>
      </c>
      <c r="U5" s="126">
        <v>4</v>
      </c>
      <c r="V5" s="124">
        <v>4</v>
      </c>
    </row>
    <row r="6" spans="1:23" x14ac:dyDescent="0.25">
      <c r="B6" s="117"/>
      <c r="F6" s="4" t="b">
        <f t="shared" si="0"/>
        <v>0</v>
      </c>
      <c r="H6" s="120">
        <v>3</v>
      </c>
      <c r="I6">
        <v>3</v>
      </c>
      <c r="J6">
        <v>1000</v>
      </c>
      <c r="K6" t="s">
        <v>201</v>
      </c>
      <c r="L6" s="4">
        <f t="shared" si="1"/>
        <v>3</v>
      </c>
      <c r="P6" s="124" t="s">
        <v>197</v>
      </c>
      <c r="Q6" s="125">
        <v>1.3</v>
      </c>
      <c r="R6" s="124">
        <v>4</v>
      </c>
      <c r="U6" s="126">
        <v>5</v>
      </c>
      <c r="V6" s="124">
        <v>5</v>
      </c>
    </row>
    <row r="7" spans="1:23" x14ac:dyDescent="0.25">
      <c r="B7" s="117"/>
      <c r="F7" s="4" t="b">
        <f t="shared" si="0"/>
        <v>0</v>
      </c>
      <c r="H7" s="120"/>
      <c r="L7" s="4">
        <f>J7*I7*144*43560/(1728*27)</f>
        <v>0</v>
      </c>
      <c r="P7" s="124" t="s">
        <v>198</v>
      </c>
      <c r="Q7" s="125">
        <v>1.5</v>
      </c>
      <c r="R7" s="124" t="s">
        <v>204</v>
      </c>
      <c r="U7" s="126">
        <v>6</v>
      </c>
      <c r="V7" s="124" t="s">
        <v>213</v>
      </c>
    </row>
    <row r="8" spans="1:23" x14ac:dyDescent="0.25">
      <c r="A8" s="130" t="s">
        <v>215</v>
      </c>
      <c r="B8" s="117"/>
      <c r="H8" s="120"/>
      <c r="P8" s="124" t="s">
        <v>199</v>
      </c>
      <c r="Q8" s="125">
        <v>2</v>
      </c>
      <c r="U8" s="124" t="s">
        <v>213</v>
      </c>
    </row>
    <row r="9" spans="1:23" x14ac:dyDescent="0.25">
      <c r="B9" s="117"/>
      <c r="H9" s="120"/>
      <c r="P9" s="124" t="s">
        <v>200</v>
      </c>
      <c r="Q9" s="125">
        <v>3</v>
      </c>
    </row>
    <row r="10" spans="1:23" x14ac:dyDescent="0.25">
      <c r="B10" s="117"/>
      <c r="H10" s="120"/>
      <c r="P10" s="124" t="s">
        <v>205</v>
      </c>
      <c r="Q10" s="125">
        <v>4</v>
      </c>
    </row>
    <row r="11" spans="1:23" x14ac:dyDescent="0.25">
      <c r="B11" s="117"/>
      <c r="H11" s="120"/>
      <c r="Q11" s="127" t="s">
        <v>206</v>
      </c>
    </row>
    <row r="12" spans="1:23" x14ac:dyDescent="0.25">
      <c r="B12" s="117"/>
      <c r="H12" s="120"/>
      <c r="Q12" s="127"/>
    </row>
    <row r="13" spans="1:23" x14ac:dyDescent="0.25">
      <c r="B13" s="117"/>
      <c r="H13" s="120"/>
      <c r="Q13" s="127"/>
    </row>
    <row r="14" spans="1:23" x14ac:dyDescent="0.25">
      <c r="B14" s="117"/>
      <c r="H14" s="120"/>
      <c r="Q14" s="127"/>
    </row>
    <row r="15" spans="1:23" x14ac:dyDescent="0.25">
      <c r="B15" s="117"/>
      <c r="H15" s="120"/>
      <c r="Q15" s="127"/>
    </row>
    <row r="16" spans="1:23" x14ac:dyDescent="0.25">
      <c r="B16" s="117"/>
      <c r="H16" s="120"/>
      <c r="Q16" s="127"/>
    </row>
    <row r="17" spans="2:17" x14ac:dyDescent="0.25">
      <c r="B17" s="117"/>
      <c r="H17" s="120"/>
      <c r="Q17" s="127"/>
    </row>
    <row r="18" spans="2:17" x14ac:dyDescent="0.25">
      <c r="B18" s="117"/>
      <c r="H18" s="120"/>
      <c r="Q18" s="127"/>
    </row>
    <row r="19" spans="2:17" x14ac:dyDescent="0.25">
      <c r="B19" s="117"/>
      <c r="H19" s="120"/>
      <c r="Q19" s="127"/>
    </row>
    <row r="20" spans="2:17" x14ac:dyDescent="0.25">
      <c r="B20" s="117"/>
      <c r="H20" s="120"/>
      <c r="Q20" s="127"/>
    </row>
    <row r="21" spans="2:17" x14ac:dyDescent="0.25">
      <c r="B21" s="117"/>
      <c r="H21" s="120"/>
      <c r="Q21" s="127"/>
    </row>
    <row r="22" spans="2:17" x14ac:dyDescent="0.25">
      <c r="B22" s="117"/>
      <c r="H22" s="120"/>
      <c r="Q22" s="127"/>
    </row>
    <row r="23" spans="2:17" x14ac:dyDescent="0.25">
      <c r="B23" s="117"/>
      <c r="H23" s="120"/>
      <c r="Q23" s="127"/>
    </row>
    <row r="24" spans="2:17" x14ac:dyDescent="0.25">
      <c r="B24" s="117"/>
      <c r="H24" s="120"/>
      <c r="Q24" s="127"/>
    </row>
    <row r="25" spans="2:17" x14ac:dyDescent="0.25">
      <c r="B25" s="117"/>
      <c r="H25" s="120"/>
      <c r="Q25" s="127"/>
    </row>
    <row r="26" spans="2:17" x14ac:dyDescent="0.25">
      <c r="B26" s="117"/>
      <c r="H26" s="120"/>
      <c r="Q26" s="127"/>
    </row>
    <row r="27" spans="2:17" x14ac:dyDescent="0.25">
      <c r="B27" s="117"/>
      <c r="H27" s="120"/>
      <c r="Q27" s="127"/>
    </row>
    <row r="28" spans="2:17" x14ac:dyDescent="0.25">
      <c r="B28" s="117"/>
      <c r="H28" s="120"/>
      <c r="Q28" s="127"/>
    </row>
    <row r="29" spans="2:17" x14ac:dyDescent="0.25">
      <c r="B29" s="117"/>
      <c r="H29" s="120"/>
      <c r="Q29" s="127"/>
    </row>
    <row r="30" spans="2:17" x14ac:dyDescent="0.25">
      <c r="B30" s="117"/>
      <c r="H30" s="119"/>
      <c r="Q30" s="127"/>
    </row>
    <row r="31" spans="2:17" x14ac:dyDescent="0.25">
      <c r="B31" s="117"/>
      <c r="H31" s="119"/>
      <c r="Q31" s="127"/>
    </row>
    <row r="32" spans="2:17" x14ac:dyDescent="0.25">
      <c r="B32" s="117"/>
      <c r="H32" s="119"/>
      <c r="Q32" s="127"/>
    </row>
    <row r="33" spans="2:17" x14ac:dyDescent="0.25">
      <c r="B33" s="117"/>
      <c r="H33" s="119"/>
      <c r="Q33" s="127"/>
    </row>
    <row r="34" spans="2:17" x14ac:dyDescent="0.25">
      <c r="B34" s="117"/>
      <c r="H34" s="119"/>
    </row>
    <row r="35" spans="2:17" x14ac:dyDescent="0.25">
      <c r="B35" s="117"/>
      <c r="H35" s="119"/>
    </row>
    <row r="36" spans="2:17" x14ac:dyDescent="0.25">
      <c r="B36" s="117"/>
      <c r="H36" s="119"/>
    </row>
    <row r="37" spans="2:17" x14ac:dyDescent="0.25">
      <c r="B37" s="117"/>
      <c r="H37" s="119"/>
    </row>
    <row r="38" spans="2:17" x14ac:dyDescent="0.25">
      <c r="B38" s="117"/>
      <c r="H38" s="119"/>
    </row>
    <row r="39" spans="2:17" x14ac:dyDescent="0.25">
      <c r="B39" s="117"/>
      <c r="H39" s="119"/>
    </row>
    <row r="40" spans="2:17" x14ac:dyDescent="0.25">
      <c r="B40" s="117"/>
      <c r="H40" s="119"/>
    </row>
    <row r="41" spans="2:17" x14ac:dyDescent="0.25">
      <c r="H41" s="119"/>
    </row>
    <row r="42" spans="2:17" x14ac:dyDescent="0.25">
      <c r="H42" s="119"/>
    </row>
  </sheetData>
  <conditionalFormatting sqref="D2">
    <cfRule type="containsBlanks" dxfId="0" priority="1">
      <formula>LEN(TRIM(D2))=0</formula>
    </cfRule>
  </conditionalFormatting>
  <dataValidations count="7">
    <dataValidation type="list" allowBlank="1" showInputMessage="1" showErrorMessage="1" sqref="N24:N25" xr:uid="{00000000-0002-0000-0600-000000000000}">
      <formula1>$P$23:$P$24</formula1>
    </dataValidation>
    <dataValidation type="list" allowBlank="1" promptTitle="Choose type" sqref="A1:A1048576" xr:uid="{00000000-0002-0000-0600-000001000000}">
      <formula1>$P$1:$P$10</formula1>
    </dataValidation>
    <dataValidation type="list" allowBlank="1" showInputMessage="1" sqref="B1:B1048576" xr:uid="{00000000-0002-0000-0600-000002000000}">
      <formula1>$Q$2:$Q$11</formula1>
    </dataValidation>
    <dataValidation type="list" allowBlank="1" showInputMessage="1" sqref="C1:C1048576" xr:uid="{00000000-0002-0000-0600-000003000000}">
      <formula1>$R$2:$R$7</formula1>
    </dataValidation>
    <dataValidation type="list" allowBlank="1" showInputMessage="1" sqref="K1:K1048576 E1:E1048576" xr:uid="{00000000-0002-0000-0600-000004000000}">
      <formula1>$T$2:$T$3</formula1>
    </dataValidation>
    <dataValidation type="list" allowBlank="1" showInputMessage="1" sqref="H1:H1048576" xr:uid="{00000000-0002-0000-0600-000005000000}">
      <formula1>$U$1:$U$8</formula1>
    </dataValidation>
    <dataValidation type="list" allowBlank="1" showInputMessage="1" sqref="I1:I1048576" xr:uid="{00000000-0002-0000-0600-000006000000}">
      <formula1>$V$1:$V$7</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4BB3D472BB1445912C20E2B2D74061" ma:contentTypeVersion="20" ma:contentTypeDescription="Create a new document." ma:contentTypeScope="" ma:versionID="a23ee14855a087c7464f08d231c1ba5c">
  <xsd:schema xmlns:xsd="http://www.w3.org/2001/XMLSchema" xmlns:xs="http://www.w3.org/2001/XMLSchema" xmlns:p="http://schemas.microsoft.com/office/2006/metadata/properties" xmlns:ns2="7361f67c-c35c-44a8-9f36-7585d2c82e10" xmlns:ns3="9d819f3f-8690-463b-8f47-5dece933fdff" targetNamespace="http://schemas.microsoft.com/office/2006/metadata/properties" ma:root="true" ma:fieldsID="0315416e76a99a2997e73bd6e1a58901" ns2:_="" ns3:_="">
    <xsd:import namespace="7361f67c-c35c-44a8-9f36-7585d2c82e10"/>
    <xsd:import namespace="9d819f3f-8690-463b-8f47-5dece933fdf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61f67c-c35c-44a8-9f36-7585d2c82e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8a445c3-3143-46eb-88a3-766e9f27f4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819f3f-8690-463b-8f47-5dece933fdf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541f8a7-a86a-4a59-8077-0832cd69cc18}" ma:internalName="TaxCatchAll" ma:showField="CatchAllData" ma:web="9d819f3f-8690-463b-8f47-5dece933fd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d819f3f-8690-463b-8f47-5dece933fdff" xsi:nil="true"/>
    <lcf76f155ced4ddcb4097134ff3c332f xmlns="7361f67c-c35c-44a8-9f36-7585d2c82e1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F44A48-1D03-44E3-8B11-85FF4A0FE9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61f67c-c35c-44a8-9f36-7585d2c82e10"/>
    <ds:schemaRef ds:uri="9d819f3f-8690-463b-8f47-5dece933fd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632BF3-D322-4C21-A80E-67261CE3082A}">
  <ds:schemaRefs>
    <ds:schemaRef ds:uri="9d819f3f-8690-463b-8f47-5dece933fdff"/>
    <ds:schemaRef ds:uri="http://purl.org/dc/terms/"/>
    <ds:schemaRef ds:uri="http://schemas.microsoft.com/office/infopath/2007/PartnerControls"/>
    <ds:schemaRef ds:uri="http://schemas.microsoft.com/office/2006/metadata/properties"/>
    <ds:schemaRef ds:uri="http://www.w3.org/XML/1998/namespace"/>
    <ds:schemaRef ds:uri="http://purl.org/dc/elements/1.1/"/>
    <ds:schemaRef ds:uri="http://schemas.microsoft.com/office/2006/documentManagement/types"/>
    <ds:schemaRef ds:uri="7361f67c-c35c-44a8-9f36-7585d2c82e10"/>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D2B04995-6D08-4119-A101-C4364DDDDB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June draft</vt:lpstr>
      <vt:lpstr>Sheet2</vt:lpstr>
      <vt:lpstr>Read me first</vt:lpstr>
      <vt:lpstr>WELO - potential</vt:lpstr>
      <vt:lpstr>Local per capita target</vt:lpstr>
      <vt:lpstr>Calculator</vt:lpstr>
      <vt:lpstr>WELO reports</vt:lpstr>
      <vt:lpstr>Calc Ref Sheet</vt:lpstr>
      <vt:lpstr>Landscape types app rates</vt:lpstr>
      <vt:lpstr>Sheet3</vt:lpstr>
      <vt:lpstr>Sheet1</vt:lpstr>
      <vt:lpstr>City</vt:lpstr>
      <vt:lpstr>'June draft'!Print_Area</vt:lpstr>
    </vt:vector>
  </TitlesOfParts>
  <Company>StopWaste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Schoonmaker</dc:creator>
  <cp:lastModifiedBy>Kelly Schoonmaker</cp:lastModifiedBy>
  <cp:lastPrinted>2020-02-06T18:35:28Z</cp:lastPrinted>
  <dcterms:created xsi:type="dcterms:W3CDTF">2019-01-29T19:35:50Z</dcterms:created>
  <dcterms:modified xsi:type="dcterms:W3CDTF">2026-04-22T00:23:00Z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0x010100194BB3D472BB1445912C20E2B2D74061</vt:lpwstr>
  </property>
  <property fmtid="{D5CDD505-2E9C-101B-9397-08002B2CF9AE}" pid="3" name="Order">
    <vt:r8>15800</vt:r8>
  </property>
  <property fmtid="{D5CDD505-2E9C-101B-9397-08002B2CF9AE}" pid="4" name="MediaServiceImageTags">
    <vt:lpwstr/>
  </property>
</Properties>
</file>